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35" yWindow="4380" windowWidth="18195" windowHeight="11820" activeTab="1"/>
  </bookViews>
  <sheets>
    <sheet name="Stato patrimoniale" sheetId="1" r:id="rId1"/>
    <sheet name="Conto economico" sheetId="2" r:id="rId2"/>
  </sheets>
  <calcPr calcId="145621"/>
</workbook>
</file>

<file path=xl/calcChain.xml><?xml version="1.0" encoding="utf-8"?>
<calcChain xmlns="http://schemas.openxmlformats.org/spreadsheetml/2006/main">
  <c r="C10" i="2" l="1"/>
  <c r="J38" i="2"/>
  <c r="I38" i="2"/>
  <c r="J33" i="2"/>
  <c r="J14" i="2"/>
  <c r="J22" i="2" s="1"/>
  <c r="J18" i="1"/>
  <c r="J51" i="1"/>
  <c r="J53" i="1" s="1"/>
  <c r="J43" i="1"/>
  <c r="J44" i="1" s="1"/>
  <c r="J31" i="1"/>
  <c r="J11" i="1"/>
  <c r="J13" i="1"/>
  <c r="E51" i="1"/>
  <c r="E53" i="1" s="1"/>
  <c r="H62" i="1"/>
  <c r="G51" i="1"/>
  <c r="G37" i="1"/>
  <c r="F51" i="1"/>
  <c r="F53" i="1" s="1"/>
  <c r="C26" i="2"/>
  <c r="C57" i="1"/>
  <c r="D57" i="1"/>
  <c r="C53" i="1"/>
  <c r="D53" i="1"/>
  <c r="C48" i="1"/>
  <c r="D48" i="1"/>
  <c r="C44" i="1"/>
  <c r="D44" i="1"/>
  <c r="C40" i="1"/>
  <c r="D40" i="1"/>
  <c r="C25" i="1"/>
  <c r="D25" i="1"/>
  <c r="C21" i="1"/>
  <c r="D21" i="1"/>
  <c r="C14" i="1"/>
  <c r="D14" i="1"/>
  <c r="C8" i="1"/>
  <c r="D8" i="1"/>
  <c r="J43" i="2"/>
  <c r="I43" i="2"/>
  <c r="H43" i="2"/>
  <c r="G43" i="2"/>
  <c r="F43" i="2"/>
  <c r="E43" i="2"/>
  <c r="D43" i="2"/>
  <c r="C43" i="2"/>
  <c r="H38" i="2"/>
  <c r="G38" i="2"/>
  <c r="F38" i="2"/>
  <c r="E38" i="2"/>
  <c r="D38" i="2"/>
  <c r="C38" i="2"/>
  <c r="I33" i="2"/>
  <c r="H33" i="2"/>
  <c r="G33" i="2"/>
  <c r="F33" i="2"/>
  <c r="E33" i="2"/>
  <c r="D33" i="2"/>
  <c r="C33" i="2"/>
  <c r="I22" i="2"/>
  <c r="H22" i="2"/>
  <c r="G22" i="2"/>
  <c r="F22" i="2"/>
  <c r="E22" i="2"/>
  <c r="D22" i="2"/>
  <c r="C22" i="2"/>
  <c r="J10" i="2"/>
  <c r="I10" i="2"/>
  <c r="H10" i="2"/>
  <c r="H26" i="2" s="1"/>
  <c r="G10" i="2"/>
  <c r="G26" i="2" s="1"/>
  <c r="F10" i="2"/>
  <c r="E10" i="2"/>
  <c r="E26" i="2" s="1"/>
  <c r="D10" i="2"/>
  <c r="D26" i="2" s="1"/>
  <c r="C45" i="2"/>
  <c r="C49" i="2" s="1"/>
  <c r="J57" i="1"/>
  <c r="I57" i="1"/>
  <c r="H57" i="1"/>
  <c r="G57" i="1"/>
  <c r="F57" i="1"/>
  <c r="E57" i="1"/>
  <c r="I53" i="1"/>
  <c r="H53" i="1"/>
  <c r="G53" i="1"/>
  <c r="J48" i="1"/>
  <c r="I48" i="1"/>
  <c r="H48" i="1"/>
  <c r="G48" i="1"/>
  <c r="F48" i="1"/>
  <c r="E48" i="1"/>
  <c r="I44" i="1"/>
  <c r="H44" i="1"/>
  <c r="G44" i="1"/>
  <c r="F44" i="1"/>
  <c r="E44" i="1"/>
  <c r="I40" i="1"/>
  <c r="G40" i="1"/>
  <c r="F40" i="1"/>
  <c r="E40" i="1"/>
  <c r="H40" i="1"/>
  <c r="J40" i="1"/>
  <c r="J25" i="1"/>
  <c r="I25" i="1"/>
  <c r="H25" i="1"/>
  <c r="G25" i="1"/>
  <c r="F25" i="1"/>
  <c r="E25" i="1"/>
  <c r="I21" i="1"/>
  <c r="H21" i="1"/>
  <c r="G21" i="1"/>
  <c r="F21" i="1"/>
  <c r="E21" i="1"/>
  <c r="J21" i="1"/>
  <c r="I14" i="1"/>
  <c r="H14" i="1"/>
  <c r="G14" i="1"/>
  <c r="F14" i="1"/>
  <c r="E14" i="1"/>
  <c r="J8" i="1"/>
  <c r="I8" i="1"/>
  <c r="H8" i="1"/>
  <c r="G8" i="1"/>
  <c r="F8" i="1"/>
  <c r="E8" i="1"/>
  <c r="J26" i="2" l="1"/>
  <c r="J45" i="2" s="1"/>
  <c r="J49" i="2" s="1"/>
  <c r="J59" i="1"/>
  <c r="J14" i="1"/>
  <c r="E45" i="2"/>
  <c r="E49" i="2" s="1"/>
  <c r="E59" i="1"/>
  <c r="H59" i="1"/>
  <c r="H27" i="1"/>
  <c r="G45" i="2"/>
  <c r="G49" i="2" s="1"/>
  <c r="G27" i="1"/>
  <c r="I26" i="2"/>
  <c r="I45" i="2" s="1"/>
  <c r="I49" i="2" s="1"/>
  <c r="H45" i="2"/>
  <c r="H49" i="2" s="1"/>
  <c r="F26" i="2"/>
  <c r="F45" i="2" s="1"/>
  <c r="F49" i="2" s="1"/>
  <c r="F27" i="1"/>
  <c r="J27" i="1"/>
  <c r="E27" i="1"/>
  <c r="F59" i="1"/>
  <c r="I59" i="1"/>
  <c r="I27" i="1"/>
  <c r="D27" i="1"/>
  <c r="C27" i="1"/>
  <c r="D59" i="1"/>
  <c r="C59" i="1"/>
  <c r="D45" i="2"/>
  <c r="D49" i="2" s="1"/>
  <c r="F62" i="1"/>
  <c r="G59" i="1"/>
  <c r="G62" i="1" s="1"/>
  <c r="J62" i="1" l="1"/>
  <c r="E62" i="1"/>
  <c r="D62" i="1"/>
  <c r="I62" i="1"/>
  <c r="C62" i="1"/>
</calcChain>
</file>

<file path=xl/sharedStrings.xml><?xml version="1.0" encoding="utf-8"?>
<sst xmlns="http://schemas.openxmlformats.org/spreadsheetml/2006/main" count="205" uniqueCount="89">
  <si>
    <t>Attivo</t>
  </si>
  <si>
    <t>Crediti verso soci per versamenti ancora dovuti</t>
  </si>
  <si>
    <t>Lepida spa</t>
  </si>
  <si>
    <t>Act</t>
  </si>
  <si>
    <t>Piacenza inf. Spa</t>
  </si>
  <si>
    <t>Agac inf. spa</t>
  </si>
  <si>
    <t xml:space="preserve">La cremeria srl </t>
  </si>
  <si>
    <t>Facor srl</t>
  </si>
  <si>
    <t>Iren spa</t>
  </si>
  <si>
    <t>parte richiamata</t>
  </si>
  <si>
    <t>parte da richiamare</t>
  </si>
  <si>
    <t>Totale crediti verso soci per versamenti ancora dovuti</t>
  </si>
  <si>
    <t>Immobilizzazioni</t>
  </si>
  <si>
    <t>Immobilizzazioni immateriali</t>
  </si>
  <si>
    <t>Immobilizzazioni materiali</t>
  </si>
  <si>
    <t>Immobilizzazioni finanziarie</t>
  </si>
  <si>
    <t>Totale immobilizzazioni</t>
  </si>
  <si>
    <t>Attivo circolante</t>
  </si>
  <si>
    <t>Rimanenze</t>
  </si>
  <si>
    <t>Crediti</t>
  </si>
  <si>
    <t>Attività finanziarie che non costituiscono immobilizzazioni</t>
  </si>
  <si>
    <t>Disponibilità liquide</t>
  </si>
  <si>
    <t>Totale attivo circolante</t>
  </si>
  <si>
    <t>Ratei e risconti</t>
  </si>
  <si>
    <t>Totale ratei e risconti</t>
  </si>
  <si>
    <r>
      <rPr>
        <b/>
        <sz val="13"/>
        <color theme="1"/>
        <rFont val="Calibri"/>
        <family val="1"/>
      </rPr>
      <t>Totale attività</t>
    </r>
  </si>
  <si>
    <t>Passivo</t>
  </si>
  <si>
    <t>Patrimonio netto</t>
  </si>
  <si>
    <t>Agac inf. Spa</t>
  </si>
  <si>
    <t>La cremeria srl</t>
  </si>
  <si>
    <t>Capitale</t>
  </si>
  <si>
    <t>Riserva da soprapprezzo delle azioni</t>
  </si>
  <si>
    <t>Riserva di rivalutazione</t>
  </si>
  <si>
    <t>Riserva legale</t>
  </si>
  <si>
    <t>Riserva statutaria</t>
  </si>
  <si>
    <t>Riserva per azioni proprie in portafoglio</t>
  </si>
  <si>
    <t>Altre riserve distintamente indicate</t>
  </si>
  <si>
    <t>Utili (perdite) portati a nuovo</t>
  </si>
  <si>
    <t>Utile o (perdita) d'esercizio</t>
  </si>
  <si>
    <t>Totale patrimonio netto</t>
  </si>
  <si>
    <t>Fondi rischi e oneri</t>
  </si>
  <si>
    <t>Totale fondi rischi e oneri</t>
  </si>
  <si>
    <t>Trattamento di fine rapporto</t>
  </si>
  <si>
    <t>Totale trattamento di fine rapporto</t>
  </si>
  <si>
    <t>Debiti</t>
  </si>
  <si>
    <t>Esigibili entro l'esercizio successivo</t>
  </si>
  <si>
    <t>Esigibili oltre l'esercizio successivo</t>
  </si>
  <si>
    <t>Totale debit</t>
  </si>
  <si>
    <t xml:space="preserve">Totale passività </t>
  </si>
  <si>
    <r>
      <rPr>
        <b/>
        <sz val="13"/>
        <color theme="1"/>
        <rFont val="Calibri"/>
        <family val="1"/>
      </rPr>
      <t>Saldo</t>
    </r>
  </si>
  <si>
    <t>STATO PATRIMONIALE SOCIETA' PARTECIPATE ANNO 2013</t>
  </si>
  <si>
    <t>Valore della produzione</t>
  </si>
  <si>
    <t>Ricavi delle vendite</t>
  </si>
  <si>
    <t>Variazione delle rimanenze e dei prodotti finiti</t>
  </si>
  <si>
    <t>Incrementi di immobilizzazioni per lavori interni</t>
  </si>
  <si>
    <t>Altri ricavi e proventi</t>
  </si>
  <si>
    <t>Totale valore della produzione</t>
  </si>
  <si>
    <t>Costi della produzioni</t>
  </si>
  <si>
    <t>Per materie prime, sussidiarie e di consumo</t>
  </si>
  <si>
    <t>Per servizi</t>
  </si>
  <si>
    <t>Per godimento di beni di terzi</t>
  </si>
  <si>
    <t>Per il personale</t>
  </si>
  <si>
    <t>Ammortamenti e svalutazioni</t>
  </si>
  <si>
    <t>Variazione delle rimanenze di materie prime</t>
  </si>
  <si>
    <t>Accantonamenti per rischi</t>
  </si>
  <si>
    <t>Altri accantonamenti</t>
  </si>
  <si>
    <t>Oneri diversi di gestione</t>
  </si>
  <si>
    <t>Totale costi della produzione</t>
  </si>
  <si>
    <t>Colonna1</t>
  </si>
  <si>
    <t>Differenza tra valore e costi della produzione</t>
  </si>
  <si>
    <t>Proventi ed oneri finanziari</t>
  </si>
  <si>
    <t>Provendi da partecipazioni</t>
  </si>
  <si>
    <t>Altri proventi finanziari</t>
  </si>
  <si>
    <t>Interessi e altri oneri finanziari</t>
  </si>
  <si>
    <t>Utili e perdite su cambi</t>
  </si>
  <si>
    <t>Totale proventi ed oneri finanziari</t>
  </si>
  <si>
    <t>Rettifiche di valore di attività finanziarie</t>
  </si>
  <si>
    <t>Rivalutazioni</t>
  </si>
  <si>
    <t>Svalutazioni</t>
  </si>
  <si>
    <t>Totale rettifiche di valore di attività finanziarie</t>
  </si>
  <si>
    <t>Proventi ed oneri straordinari</t>
  </si>
  <si>
    <t>Proventi</t>
  </si>
  <si>
    <t>Oneri</t>
  </si>
  <si>
    <t>Totale proventi ed oneri straordinari</t>
  </si>
  <si>
    <t>Risultato prima delle imposte</t>
  </si>
  <si>
    <t>Imposte e tasse</t>
  </si>
  <si>
    <t>Utile (perdita) d'eservizio</t>
  </si>
  <si>
    <t>CONTO ECONOMICO SOCIETA' PARTECIPATE ANNO 2013</t>
  </si>
  <si>
    <t>Colonna2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</si>
</sst>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(* #,##0.00_);_(* \(#,##0.00\);_(* &quot;-&quot;??_);_(@_)"/>
    <numFmt numFmtId="165" formatCode="#,##0.0\ ;\(#,##0.0\)"/>
    <numFmt numFmtId="166" formatCode="_(&quot;$&quot;* #,##0.00_);_(&quot;$&quot;* \(#,##0.00\);_(&quot;$&quot;* &quot;-&quot;??_);_(@_)"/>
    <numFmt numFmtId="167" formatCode="_([$$-409]* #,##0.00_);_([$$-409]* \(#,##0.00\);_([$$-409]* &quot;-&quot;??_);_(@_)"/>
    <numFmt numFmtId="168" formatCode="&quot;$&quot;#,##0\ ;\(&quot;$&quot;#,##0.0\)"/>
  </numFmts>
  <fonts count="19" x14ac:knownFonts="1">
    <font>
      <sz val="11"/>
      <color theme="1"/>
      <name val="Calibri"/>
      <family val="2"/>
      <scheme val="minor"/>
    </font>
    <font>
      <u/>
      <sz val="10"/>
      <color theme="10"/>
      <name val="Calibri"/>
      <family val="2"/>
      <scheme val="minor"/>
    </font>
    <font>
      <u/>
      <sz val="20"/>
      <color theme="10"/>
      <name val="Calibri"/>
      <family val="2"/>
      <scheme val="minor"/>
    </font>
    <font>
      <sz val="10"/>
      <color theme="1"/>
      <name val="Calibri"/>
      <scheme val="minor"/>
    </font>
    <font>
      <b/>
      <sz val="13"/>
      <color theme="1"/>
      <name val="Arial"/>
      <family val="2"/>
    </font>
    <font>
      <b/>
      <sz val="13"/>
      <color theme="1"/>
      <name val="Calibri"/>
      <family val="1"/>
      <scheme val="minor"/>
    </font>
    <font>
      <b/>
      <sz val="11"/>
      <color theme="1"/>
      <name val="Calibri"/>
      <family val="1"/>
      <scheme val="minor"/>
    </font>
    <font>
      <b/>
      <sz val="11"/>
      <color theme="1"/>
      <name val="Calibri"/>
      <family val="1"/>
    </font>
    <font>
      <sz val="10"/>
      <color theme="1"/>
      <name val="Calibri"/>
      <family val="1"/>
      <scheme val="minor"/>
    </font>
    <font>
      <b/>
      <sz val="10"/>
      <color theme="1"/>
      <name val="Calibri"/>
      <family val="1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</font>
    <font>
      <b/>
      <sz val="13"/>
      <color theme="1"/>
      <name val="Calibri"/>
      <family val="1"/>
    </font>
    <font>
      <b/>
      <sz val="10"/>
      <name val="Calibri"/>
      <family val="2"/>
    </font>
    <font>
      <sz val="10"/>
      <color theme="1"/>
      <name val="Arial"/>
      <family val="2"/>
    </font>
    <font>
      <b/>
      <u/>
      <sz val="2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lightUp">
        <fgColor theme="0"/>
        <bgColor theme="4" tint="0.79998168889431442"/>
      </patternFill>
    </fill>
    <fill>
      <patternFill patternType="lightUp">
        <fgColor theme="0"/>
        <bgColor theme="4" tint="0.39997558519241921"/>
      </patternFill>
    </fill>
    <fill>
      <patternFill patternType="lightUp">
        <fgColor theme="0"/>
        <bgColor theme="5" tint="0.79998168889431442"/>
      </patternFill>
    </fill>
    <fill>
      <patternFill patternType="lightUp">
        <fgColor theme="0"/>
        <bgColor theme="5" tint="0.39997558519241921"/>
      </patternFill>
    </fill>
  </fills>
  <borders count="8">
    <border>
      <left/>
      <right/>
      <top/>
      <bottom/>
      <diagonal/>
    </border>
    <border>
      <left/>
      <right/>
      <top/>
      <bottom style="thick">
        <color theme="4" tint="0.39997558519241921"/>
      </bottom>
      <diagonal/>
    </border>
    <border>
      <left style="thin">
        <color theme="0"/>
      </left>
      <right/>
      <top/>
      <bottom style="thick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/>
      <top style="thick">
        <color theme="0"/>
      </top>
      <bottom style="thin">
        <color indexed="64"/>
      </bottom>
      <diagonal/>
    </border>
    <border>
      <left/>
      <right/>
      <top/>
      <bottom style="thick">
        <color theme="5" tint="0.499984740745262"/>
      </bottom>
      <diagonal/>
    </border>
    <border>
      <left style="thin">
        <color theme="0"/>
      </left>
      <right/>
      <top/>
      <bottom/>
      <diagonal/>
    </border>
  </borders>
  <cellStyleXfs count="7">
    <xf numFmtId="0" fontId="0" fillId="0" borderId="0"/>
    <xf numFmtId="0" fontId="1" fillId="0" borderId="0" applyNumberFormat="0" applyFill="0" applyBorder="0" applyAlignment="0" applyProtection="0"/>
    <xf numFmtId="0" fontId="3" fillId="0" borderId="0"/>
    <xf numFmtId="0" fontId="4" fillId="0" borderId="1" applyNumberFormat="0" applyFill="0" applyAlignment="0" applyProtection="0"/>
    <xf numFmtId="0" fontId="10" fillId="2" borderId="0" applyNumberFormat="0" applyBorder="0" applyAlignment="0" applyProtection="0"/>
    <xf numFmtId="0" fontId="10" fillId="4" borderId="0" applyNumberFormat="0" applyBorder="0" applyAlignment="0" applyProtection="0"/>
    <xf numFmtId="166" fontId="17" fillId="0" borderId="0" applyFont="0" applyFill="0" applyBorder="0" applyAlignment="0" applyProtection="0"/>
  </cellStyleXfs>
  <cellXfs count="75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2"/>
    <xf numFmtId="0" fontId="2" fillId="0" borderId="1" xfId="1" applyFont="1" applyBorder="1" applyAlignment="1">
      <alignment horizontal="center"/>
    </xf>
    <xf numFmtId="0" fontId="5" fillId="0" borderId="1" xfId="3" applyFont="1" applyAlignment="1">
      <alignment horizontal="center"/>
    </xf>
    <xf numFmtId="0" fontId="6" fillId="0" borderId="1" xfId="3" applyNumberFormat="1" applyFont="1" applyAlignment="1">
      <alignment horizontal="center"/>
    </xf>
    <xf numFmtId="0" fontId="7" fillId="0" borderId="0" xfId="2" applyFont="1" applyAlignment="1">
      <alignment wrapText="1"/>
    </xf>
    <xf numFmtId="0" fontId="8" fillId="0" borderId="0" xfId="2" applyFont="1"/>
    <xf numFmtId="0" fontId="9" fillId="0" borderId="0" xfId="2" applyFont="1"/>
    <xf numFmtId="0" fontId="11" fillId="3" borderId="0" xfId="4" applyFont="1" applyFill="1" applyAlignment="1">
      <alignment wrapText="1"/>
    </xf>
    <xf numFmtId="0" fontId="12" fillId="3" borderId="0" xfId="4" applyNumberFormat="1" applyFont="1" applyFill="1" applyAlignment="1">
      <alignment horizontal="center"/>
    </xf>
    <xf numFmtId="0" fontId="13" fillId="3" borderId="2" xfId="4" applyNumberFormat="1" applyFont="1" applyFill="1" applyBorder="1" applyAlignment="1">
      <alignment horizontal="center"/>
    </xf>
    <xf numFmtId="0" fontId="14" fillId="2" borderId="0" xfId="4" applyFont="1" applyAlignment="1">
      <alignment wrapText="1"/>
    </xf>
    <xf numFmtId="164" fontId="10" fillId="2" borderId="0" xfId="4" applyNumberFormat="1"/>
    <xf numFmtId="164" fontId="10" fillId="2" borderId="3" xfId="4" applyNumberFormat="1" applyFont="1" applyFill="1" applyBorder="1"/>
    <xf numFmtId="0" fontId="12" fillId="3" borderId="4" xfId="2" applyFont="1" applyFill="1" applyBorder="1" applyAlignment="1">
      <alignment wrapText="1"/>
    </xf>
    <xf numFmtId="164" fontId="12" fillId="3" borderId="4" xfId="2" applyNumberFormat="1" applyFont="1" applyFill="1" applyBorder="1"/>
    <xf numFmtId="164" fontId="13" fillId="3" borderId="5" xfId="2" applyNumberFormat="1" applyFont="1" applyFill="1" applyBorder="1"/>
    <xf numFmtId="0" fontId="12" fillId="0" borderId="0" xfId="2" applyFont="1" applyFill="1" applyBorder="1" applyAlignment="1">
      <alignment wrapText="1"/>
    </xf>
    <xf numFmtId="164" fontId="12" fillId="0" borderId="0" xfId="2" applyNumberFormat="1" applyFont="1" applyFill="1" applyBorder="1"/>
    <xf numFmtId="0" fontId="8" fillId="0" borderId="0" xfId="2" applyFont="1" applyBorder="1" applyAlignment="1">
      <alignment wrapText="1"/>
    </xf>
    <xf numFmtId="165" fontId="8" fillId="0" borderId="0" xfId="2" applyNumberFormat="1" applyFont="1" applyBorder="1"/>
    <xf numFmtId="165" fontId="9" fillId="0" borderId="0" xfId="2" applyNumberFormat="1" applyFont="1" applyBorder="1"/>
    <xf numFmtId="0" fontId="5" fillId="0" borderId="1" xfId="3" applyFont="1" applyAlignment="1">
      <alignment wrapText="1"/>
    </xf>
    <xf numFmtId="164" fontId="5" fillId="0" borderId="1" xfId="3" applyNumberFormat="1" applyFont="1" applyBorder="1"/>
    <xf numFmtId="0" fontId="5" fillId="0" borderId="6" xfId="3" applyFont="1" applyBorder="1" applyAlignment="1"/>
    <xf numFmtId="0" fontId="6" fillId="0" borderId="6" xfId="3" applyNumberFormat="1" applyFont="1" applyBorder="1" applyAlignment="1">
      <alignment horizontal="center"/>
    </xf>
    <xf numFmtId="165" fontId="8" fillId="0" borderId="0" xfId="2" applyNumberFormat="1" applyFont="1"/>
    <xf numFmtId="165" fontId="9" fillId="0" borderId="0" xfId="2" applyNumberFormat="1" applyFont="1"/>
    <xf numFmtId="0" fontId="11" fillId="5" borderId="0" xfId="5" applyFont="1" applyFill="1" applyAlignment="1">
      <alignment wrapText="1"/>
    </xf>
    <xf numFmtId="0" fontId="11" fillId="5" borderId="0" xfId="5" applyNumberFormat="1" applyFont="1" applyFill="1" applyAlignment="1">
      <alignment horizontal="center"/>
    </xf>
    <xf numFmtId="0" fontId="16" fillId="5" borderId="2" xfId="5" applyNumberFormat="1" applyFont="1" applyFill="1" applyBorder="1" applyAlignment="1">
      <alignment horizontal="center"/>
    </xf>
    <xf numFmtId="0" fontId="14" fillId="4" borderId="0" xfId="5" applyFont="1" applyAlignment="1">
      <alignment wrapText="1"/>
    </xf>
    <xf numFmtId="164" fontId="10" fillId="4" borderId="0" xfId="5" applyNumberFormat="1"/>
    <xf numFmtId="164" fontId="10" fillId="4" borderId="3" xfId="5" applyNumberFormat="1" applyFont="1" applyFill="1" applyBorder="1"/>
    <xf numFmtId="0" fontId="12" fillId="5" borderId="4" xfId="2" applyFont="1" applyFill="1" applyBorder="1" applyAlignment="1">
      <alignment wrapText="1"/>
    </xf>
    <xf numFmtId="164" fontId="12" fillId="5" borderId="4" xfId="2" applyNumberFormat="1" applyFont="1" applyFill="1" applyBorder="1"/>
    <xf numFmtId="164" fontId="13" fillId="5" borderId="5" xfId="2" applyNumberFormat="1" applyFont="1" applyFill="1" applyBorder="1"/>
    <xf numFmtId="0" fontId="8" fillId="0" borderId="0" xfId="2" applyFont="1" applyBorder="1" applyAlignment="1">
      <alignment horizontal="left" wrapText="1"/>
    </xf>
    <xf numFmtId="167" fontId="8" fillId="0" borderId="0" xfId="6" applyNumberFormat="1" applyFont="1" applyBorder="1"/>
    <xf numFmtId="167" fontId="9" fillId="0" borderId="0" xfId="6" applyNumberFormat="1" applyFont="1" applyBorder="1"/>
    <xf numFmtId="0" fontId="15" fillId="0" borderId="6" xfId="3" applyFont="1" applyBorder="1" applyAlignment="1">
      <alignment horizontal="left" wrapText="1"/>
    </xf>
    <xf numFmtId="164" fontId="5" fillId="0" borderId="6" xfId="3" applyNumberFormat="1" applyFont="1" applyBorder="1"/>
    <xf numFmtId="0" fontId="8" fillId="0" borderId="0" xfId="2" applyFont="1" applyBorder="1"/>
    <xf numFmtId="168" fontId="8" fillId="0" borderId="0" xfId="2" applyNumberFormat="1" applyFont="1" applyBorder="1"/>
    <xf numFmtId="168" fontId="9" fillId="0" borderId="0" xfId="2" applyNumberFormat="1" applyFont="1" applyBorder="1"/>
    <xf numFmtId="0" fontId="5" fillId="0" borderId="0" xfId="2" applyFont="1" applyAlignment="1">
      <alignment horizontal="right"/>
    </xf>
    <xf numFmtId="164" fontId="5" fillId="0" borderId="0" xfId="2" applyNumberFormat="1" applyFont="1" applyBorder="1"/>
    <xf numFmtId="0" fontId="18" fillId="0" borderId="0" xfId="0" applyFont="1" applyAlignment="1">
      <alignment horizontal="center"/>
    </xf>
    <xf numFmtId="0" fontId="18" fillId="0" borderId="1" xfId="0" applyFont="1" applyBorder="1" applyAlignment="1">
      <alignment horizontal="center"/>
    </xf>
    <xf numFmtId="0" fontId="7" fillId="0" borderId="0" xfId="0" applyFont="1" applyAlignment="1">
      <alignment wrapText="1"/>
    </xf>
    <xf numFmtId="165" fontId="8" fillId="0" borderId="0" xfId="0" applyNumberFormat="1" applyFont="1"/>
    <xf numFmtId="165" fontId="9" fillId="0" borderId="0" xfId="0" applyNumberFormat="1" applyFont="1"/>
    <xf numFmtId="0" fontId="12" fillId="5" borderId="4" xfId="0" applyFont="1" applyFill="1" applyBorder="1" applyAlignment="1">
      <alignment wrapText="1"/>
    </xf>
    <xf numFmtId="164" fontId="12" fillId="5" borderId="4" xfId="0" applyNumberFormat="1" applyFont="1" applyFill="1" applyBorder="1"/>
    <xf numFmtId="164" fontId="13" fillId="5" borderId="5" xfId="0" applyNumberFormat="1" applyFont="1" applyFill="1" applyBorder="1"/>
    <xf numFmtId="0" fontId="14" fillId="4" borderId="0" xfId="5" applyFont="1" applyAlignment="1" applyProtection="1">
      <alignment wrapText="1"/>
      <protection locked="0"/>
    </xf>
    <xf numFmtId="164" fontId="10" fillId="4" borderId="0" xfId="5" applyNumberFormat="1" applyProtection="1">
      <protection locked="0"/>
    </xf>
    <xf numFmtId="164" fontId="10" fillId="4" borderId="3" xfId="5" applyNumberFormat="1" applyFont="1" applyFill="1" applyBorder="1" applyProtection="1">
      <protection locked="0"/>
    </xf>
    <xf numFmtId="0" fontId="0" fillId="0" borderId="0" xfId="0" applyProtection="1">
      <protection locked="0"/>
    </xf>
    <xf numFmtId="0" fontId="12" fillId="5" borderId="4" xfId="0" applyNumberFormat="1" applyFont="1" applyFill="1" applyBorder="1" applyAlignment="1" applyProtection="1">
      <alignment wrapText="1"/>
      <protection locked="0"/>
    </xf>
    <xf numFmtId="164" fontId="12" fillId="5" borderId="4" xfId="0" applyNumberFormat="1" applyFont="1" applyFill="1" applyBorder="1" applyProtection="1">
      <protection locked="0"/>
    </xf>
    <xf numFmtId="0" fontId="12" fillId="0" borderId="0" xfId="0" applyFont="1" applyFill="1" applyBorder="1" applyAlignment="1">
      <alignment wrapText="1"/>
    </xf>
    <xf numFmtId="164" fontId="12" fillId="0" borderId="0" xfId="0" applyNumberFormat="1" applyFont="1" applyFill="1" applyBorder="1"/>
    <xf numFmtId="164" fontId="10" fillId="4" borderId="7" xfId="5" applyNumberFormat="1" applyFont="1" applyFill="1" applyBorder="1"/>
    <xf numFmtId="0" fontId="8" fillId="0" borderId="0" xfId="0" applyFont="1" applyBorder="1" applyAlignment="1">
      <alignment horizontal="left" wrapText="1"/>
    </xf>
    <xf numFmtId="164" fontId="13" fillId="0" borderId="0" xfId="0" applyNumberFormat="1" applyFont="1" applyFill="1" applyBorder="1"/>
    <xf numFmtId="0" fontId="13" fillId="5" borderId="4" xfId="0" applyFont="1" applyFill="1" applyBorder="1" applyAlignment="1">
      <alignment wrapText="1"/>
    </xf>
    <xf numFmtId="164" fontId="13" fillId="5" borderId="4" xfId="0" applyNumberFormat="1" applyFont="1" applyFill="1" applyBorder="1"/>
    <xf numFmtId="0" fontId="8" fillId="0" borderId="0" xfId="0" applyFont="1" applyBorder="1"/>
    <xf numFmtId="168" fontId="8" fillId="0" borderId="0" xfId="0" applyNumberFormat="1" applyFont="1" applyBorder="1"/>
    <xf numFmtId="168" fontId="9" fillId="0" borderId="0" xfId="0" applyNumberFormat="1" applyFont="1" applyBorder="1"/>
    <xf numFmtId="0" fontId="5" fillId="0" borderId="0" xfId="0" applyFont="1" applyAlignment="1">
      <alignment horizontal="right"/>
    </xf>
    <xf numFmtId="164" fontId="5" fillId="0" borderId="0" xfId="0" applyNumberFormat="1" applyFont="1" applyBorder="1"/>
    <xf numFmtId="0" fontId="8" fillId="0" borderId="0" xfId="0" applyFont="1"/>
  </cellXfs>
  <cellStyles count="7">
    <cellStyle name="Collegamento ipertestuale" xfId="1" builtinId="8"/>
    <cellStyle name="Enfasi 1" xfId="4" builtinId="12"/>
    <cellStyle name="Enfasi 2" xfId="5" builtinId="13"/>
    <cellStyle name="Normale" xfId="0" builtinId="0"/>
    <cellStyle name="Normale 2" xfId="2"/>
    <cellStyle name="Titolo 2 2" xfId="3"/>
    <cellStyle name="Valuta 2" xfId="6"/>
  </cellStyles>
  <dxfs count="122">
    <dxf>
      <font>
        <color indexed="10"/>
      </font>
    </dxf>
    <dxf>
      <font>
        <color indexed="10"/>
      </font>
    </dxf>
    <dxf>
      <numFmt numFmtId="164" formatCode="_(* #,##0.00_);_(* \(#,##0.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4" formatCode="_(* #,##0.00_);_(* \(#,##0.00\);_(* &quot;-&quot;??_);_(@_)"/>
      <fill>
        <patternFill patternType="lightUp">
          <fgColor theme="0"/>
          <bgColor theme="5" tint="0.39997558519241921"/>
        </patternFill>
      </fill>
      <border diagonalUp="0" diagonalDown="0" outline="0">
        <left/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4" formatCode="_(* #,##0.00_);_(* \(#,##0.00\);_(* &quot;-&quot;??_);_(@_)"/>
      <fill>
        <patternFill patternType="lightUp">
          <fgColor theme="0"/>
          <bgColor theme="5" tint="0.39997558519241921"/>
        </patternFill>
      </fill>
      <border diagonalUp="0" diagonalDown="0" outline="0">
        <left/>
        <right/>
        <top/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4" formatCode="_(* #,##0.00_);_(* \(#,##0.00\);_(* &quot;-&quot;??_);_(@_)"/>
      <fill>
        <patternFill patternType="lightUp">
          <fgColor theme="0"/>
          <bgColor theme="5" tint="0.39997558519241921"/>
        </patternFill>
      </fill>
      <border diagonalUp="0" diagonalDown="0" outline="0">
        <left/>
        <right/>
        <top/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0" formatCode="General"/>
      <fill>
        <patternFill patternType="lightUp">
          <fgColor theme="0"/>
          <bgColor theme="5" tint="0.39997558519241921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/>
        <top/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4" formatCode="_(* #,##0.00_);_(* \(#,##0.00\);_(* &quot;-&quot;??_);_(@_)"/>
      <fill>
        <patternFill patternType="lightUp">
          <fgColor theme="0"/>
          <bgColor theme="5" tint="0.39997558519241921"/>
        </patternFill>
      </fill>
      <border diagonalUp="0" diagonalDown="0" outline="0">
        <left/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4" formatCode="_(* #,##0.00_);_(* \(#,##0.00\);_(* &quot;-&quot;??_);_(@_)"/>
      <fill>
        <patternFill patternType="lightUp">
          <fgColor theme="0"/>
          <bgColor theme="5" tint="0.39997558519241921"/>
        </patternFill>
      </fill>
      <border diagonalUp="0" diagonalDown="0" outline="0">
        <left/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lightUp">
          <fgColor theme="0"/>
          <bgColor theme="5" tint="0.39997558519241921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4" formatCode="_(* #,##0.00_);_(* \(#,##0.00\);_(* &quot;-&quot;??_);_(@_)"/>
      <fill>
        <patternFill patternType="lightUp">
          <fgColor theme="0"/>
          <bgColor theme="5" tint="0.39997558519241921"/>
        </patternFill>
      </fill>
      <border diagonalUp="0" diagonalDown="0" outline="0">
        <left/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4" formatCode="_(* #,##0.00_);_(* \(#,##0.00\);_(* &quot;-&quot;??_);_(@_)"/>
      <fill>
        <patternFill patternType="lightUp">
          <fgColor theme="0"/>
          <bgColor theme="5" tint="0.39997558519241921"/>
        </patternFill>
      </fill>
      <border diagonalUp="0" diagonalDown="0" outline="0">
        <left/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lightUp">
          <fgColor theme="0"/>
          <bgColor theme="5" tint="0.39997558519241921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4" formatCode="_(* #,##0.00_);_(* \(#,##0.00\);_(* &quot;-&quot;??_);_(@_)"/>
      <fill>
        <patternFill patternType="lightUp">
          <fgColor theme="0"/>
          <bgColor theme="5" tint="0.39997558519241921"/>
        </patternFill>
      </fill>
      <border diagonalUp="0" diagonalDown="0" outline="0">
        <left/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4" formatCode="_(* #,##0.00_);_(* \(#,##0.00\);_(* &quot;-&quot;??_);_(@_)"/>
      <fill>
        <patternFill patternType="lightUp">
          <fgColor theme="0"/>
          <bgColor theme="5" tint="0.39997558519241921"/>
        </patternFill>
      </fill>
      <border diagonalUp="0" diagonalDown="0" outline="0">
        <left/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lightUp">
          <fgColor theme="0"/>
          <bgColor theme="5" tint="0.39997558519241921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4" formatCode="_(* #,##0.00_);_(* \(#,##0.00\);_(* &quot;-&quot;??_);_(@_)"/>
      <fill>
        <patternFill patternType="lightUp">
          <fgColor theme="0"/>
          <bgColor theme="5" tint="0.39997558519241921"/>
        </patternFill>
      </fill>
      <border diagonalUp="0" diagonalDown="0" outline="0">
        <left/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lightUp">
          <fgColor theme="0"/>
          <bgColor theme="5" tint="0.39997558519241921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4" formatCode="_(* #,##0.00_);_(* \(#,##0.00\);_(* &quot;-&quot;??_);_(@_)"/>
      <fill>
        <patternFill patternType="lightUp">
          <fgColor theme="0"/>
          <bgColor theme="5" tint="0.39997558519241921"/>
        </patternFill>
      </fill>
      <border diagonalUp="0" diagonalDown="0" outline="0">
        <left/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4" formatCode="_(* #,##0.00_);_(* \(#,##0.00\);_(* &quot;-&quot;??_);_(@_)"/>
      <fill>
        <patternFill patternType="lightUp">
          <fgColor theme="0"/>
          <bgColor theme="5" tint="0.39997558519241921"/>
        </patternFill>
      </fill>
      <border diagonalUp="0" diagonalDown="0" outline="0">
        <left/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lightUp">
          <fgColor theme="0"/>
          <bgColor theme="5" tint="0.39997558519241921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4" formatCode="_(* #,##0.00_);_(* \(#,##0.00\);_(* &quot;-&quot;??_);_(@_)"/>
      <fill>
        <patternFill patternType="lightUp">
          <fgColor theme="0"/>
          <bgColor theme="5" tint="0.39997558519241921"/>
        </patternFill>
      </fill>
      <border diagonalUp="0" diagonalDown="0" outline="0">
        <left/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4" formatCode="_(* #,##0.00_);_(* \(#,##0.00\);_(* &quot;-&quot;??_);_(@_)"/>
      <fill>
        <patternFill patternType="lightUp">
          <fgColor theme="0"/>
          <bgColor theme="5" tint="0.39997558519241921"/>
        </patternFill>
      </fill>
      <border diagonalUp="0" diagonalDown="0" outline="0">
        <left/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lightUp">
          <fgColor theme="0"/>
          <bgColor theme="5" tint="0.39997558519241921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4" formatCode="_(* #,##0.00_);_(* \(#,##0.00\);_(* &quot;-&quot;??_);_(@_)"/>
      <fill>
        <patternFill patternType="lightUp">
          <fgColor theme="0"/>
          <bgColor theme="5" tint="0.39997558519241921"/>
        </patternFill>
      </fill>
      <border diagonalUp="0" diagonalDown="0" outline="0">
        <left/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4" formatCode="_(* #,##0.00_);_(* \(#,##0.00\);_(* &quot;-&quot;??_);_(@_)"/>
      <fill>
        <patternFill patternType="lightUp">
          <fgColor theme="0"/>
          <bgColor theme="5" tint="0.39997558519241921"/>
        </patternFill>
      </fill>
      <border diagonalUp="0" diagonalDown="0" outline="0">
        <left/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lightUp">
          <fgColor theme="0"/>
          <bgColor theme="5" tint="0.39997558519241921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4" formatCode="_(* #,##0.00_);_(* \(#,##0.00\);_(* &quot;-&quot;??_);_(@_)"/>
      <fill>
        <patternFill patternType="lightUp">
          <fgColor theme="0"/>
          <bgColor theme="5" tint="0.39997558519241921"/>
        </patternFill>
      </fill>
      <border diagonalUp="0" diagonalDown="0" outline="0">
        <left/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4" formatCode="_(* #,##0.00_);_(* \(#,##0.00\);_(* &quot;-&quot;??_);_(@_)"/>
      <fill>
        <patternFill patternType="lightUp">
          <fgColor theme="0"/>
          <bgColor theme="5" tint="0.39997558519241921"/>
        </patternFill>
      </fill>
      <border diagonalUp="0" diagonalDown="0" outline="0">
        <left/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lightUp">
          <fgColor theme="0"/>
          <bgColor theme="5" tint="0.39997558519241921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4" formatCode="_(* #,##0.00_);_(* \(#,##0.00\);_(* &quot;-&quot;??_);_(@_)"/>
      <fill>
        <patternFill patternType="lightUp">
          <fgColor theme="0"/>
          <bgColor theme="4" tint="0.39997558519241921"/>
        </patternFill>
      </fill>
      <border diagonalUp="0" diagonalDown="0" outline="0">
        <left/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4" formatCode="_(* #,##0.00_);_(* \(#,##0.00\);_(* &quot;-&quot;??_);_(@_)"/>
      <fill>
        <patternFill patternType="lightUp">
          <fgColor theme="0"/>
          <bgColor theme="4" tint="0.39997558519241921"/>
        </patternFill>
      </fill>
      <border diagonalUp="0" diagonalDown="0" outline="0">
        <left/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lightUp">
          <fgColor theme="0"/>
          <bgColor theme="4" tint="0.39997558519241921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4" formatCode="_(* #,##0.00_);_(* \(#,##0.00\);_(* &quot;-&quot;??_);_(@_)"/>
      <fill>
        <patternFill patternType="lightUp">
          <fgColor theme="0"/>
          <bgColor theme="4" tint="0.39997558519241921"/>
        </patternFill>
      </fill>
      <border diagonalUp="0" diagonalDown="0" outline="0">
        <left/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4" formatCode="_(* #,##0.00_);_(* \(#,##0.00\);_(* &quot;-&quot;??_);_(@_)"/>
      <fill>
        <patternFill patternType="lightUp">
          <fgColor theme="0"/>
          <bgColor theme="4" tint="0.39997558519241921"/>
        </patternFill>
      </fill>
      <border diagonalUp="0" diagonalDown="0" outline="0">
        <left/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lightUp">
          <fgColor theme="0"/>
          <bgColor theme="4" tint="0.39997558519241921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4" formatCode="_(* #,##0.00_);_(* \(#,##0.00\);_(* &quot;-&quot;??_);_(@_)"/>
      <fill>
        <patternFill patternType="lightUp">
          <fgColor theme="0"/>
          <bgColor theme="4" tint="0.39997558519241921"/>
        </patternFill>
      </fill>
      <border diagonalUp="0" diagonalDown="0" outline="0">
        <left/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4" formatCode="_(* #,##0.00_);_(* \(#,##0.00\);_(* &quot;-&quot;??_);_(@_)"/>
      <fill>
        <patternFill patternType="lightUp">
          <fgColor theme="0"/>
          <bgColor theme="4" tint="0.39997558519241921"/>
        </patternFill>
      </fill>
      <border diagonalUp="0" diagonalDown="0" outline="0">
        <left/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lightUp">
          <fgColor theme="0"/>
          <bgColor theme="4" tint="0.39997558519241921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4" formatCode="_(* #,##0.00_);_(* \(#,##0.00\);_(* &quot;-&quot;??_);_(@_)"/>
      <fill>
        <patternFill patternType="lightUp">
          <fgColor theme="0"/>
          <bgColor theme="5" tint="0.39997558519241921"/>
        </patternFill>
      </fill>
      <border diagonalUp="0" diagonalDown="0" outline="0">
        <left/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4" formatCode="_(* #,##0.00_);_(* \(#,##0.00\);_(* &quot;-&quot;??_);_(@_)"/>
      <fill>
        <patternFill patternType="lightUp">
          <fgColor theme="0"/>
          <bgColor theme="5" tint="0.39997558519241921"/>
        </patternFill>
      </fill>
      <border diagonalUp="0" diagonalDown="0" outline="0">
        <left/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lightUp">
          <fgColor theme="0"/>
          <bgColor theme="5" tint="0.39997558519241921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4" formatCode="_(* #,##0.00_);_(* \(#,##0.00\);_(* &quot;-&quot;??_);_(@_)"/>
      <fill>
        <patternFill patternType="lightUp">
          <fgColor theme="0"/>
          <bgColor theme="5" tint="0.39997558519241921"/>
        </patternFill>
      </fill>
      <border diagonalUp="0" diagonalDown="0" outline="0">
        <left/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4" formatCode="_(* #,##0.00_);_(* \(#,##0.00\);_(* &quot;-&quot;??_);_(@_)"/>
      <fill>
        <patternFill patternType="lightUp">
          <fgColor theme="0"/>
          <bgColor theme="5" tint="0.39997558519241921"/>
        </patternFill>
      </fill>
      <border diagonalUp="0" diagonalDown="0" outline="0">
        <left/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lightUp">
          <fgColor theme="0"/>
          <bgColor theme="5" tint="0.39997558519241921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4" formatCode="_(* #,##0.00_);_(* \(#,##0.00\);_(* &quot;-&quot;??_);_(@_)"/>
      <fill>
        <patternFill patternType="lightUp">
          <fgColor theme="0"/>
          <bgColor theme="4" tint="0.39997558519241921"/>
        </patternFill>
      </fill>
      <border diagonalUp="0" diagonalDown="0" outline="0">
        <left/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4" formatCode="_(* #,##0.00_);_(* \(#,##0.00\);_(* &quot;-&quot;??_);_(@_)"/>
      <fill>
        <patternFill patternType="lightUp">
          <fgColor theme="0"/>
          <bgColor theme="4" tint="0.39997558519241921"/>
        </patternFill>
      </fill>
      <border diagonalUp="0" diagonalDown="0" outline="0">
        <left/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lightUp">
          <fgColor theme="0"/>
          <bgColor theme="4" tint="0.39997558519241921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numFmt numFmtId="164" formatCode="_(* #,##0.00_);_(* \(#,##0.00\);_(* &quot;-&quot;??_);_(@_)"/>
    </dxf>
    <dxf>
      <numFmt numFmtId="164" formatCode="_(* #,##0.00_);_(* \(#,##0.00\);_(* &quot;-&quot;??_);_(@_)"/>
    </dxf>
    <dxf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lightUp">
          <fgColor rgb="FFFFFFFF"/>
          <bgColor rgb="FFDA9694"/>
        </patternFill>
      </fill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lightUp">
          <fgColor theme="0"/>
          <bgColor theme="5" tint="0.39997558519241921"/>
        </patternFill>
      </fill>
    </dxf>
    <dxf>
      <numFmt numFmtId="164" formatCode="_(* #,##0.00_);_(* \(#,##0.00\);_(* &quot;-&quot;??_);_(@_)"/>
    </dxf>
    <dxf>
      <numFmt numFmtId="164" formatCode="_(* #,##0.00_);_(* \(#,##0.00\);_(* &quot;-&quot;??_);_(@_)"/>
    </dxf>
    <dxf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lightUp">
          <fgColor rgb="FFFFFFFF"/>
          <bgColor rgb="FFDA9694"/>
        </patternFill>
      </fill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lightUp">
          <fgColor theme="0"/>
          <bgColor theme="5" tint="0.39997558519241921"/>
        </patternFill>
      </fill>
    </dxf>
    <dxf>
      <numFmt numFmtId="164" formatCode="_(* #,##0.00_);_(* \(#,##0.00\);_(* &quot;-&quot;??_);_(@_)"/>
    </dxf>
    <dxf>
      <numFmt numFmtId="164" formatCode="_(* #,##0.00_);_(* \(#,##0.00\);_(* &quot;-&quot;??_);_(@_)"/>
    </dxf>
    <dxf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lightUp">
          <fgColor rgb="FFFFFFFF"/>
          <bgColor rgb="FFDA9694"/>
        </patternFill>
      </fill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lightUp">
          <fgColor theme="0"/>
          <bgColor theme="5" tint="0.39997558519241921"/>
        </patternFill>
      </fill>
    </dxf>
    <dxf>
      <numFmt numFmtId="164" formatCode="_(* #,##0.00_);_(* \(#,##0.00\);_(* &quot;-&quot;??_);_(@_)"/>
      <protection locked="0" hidden="0"/>
    </dxf>
    <dxf>
      <numFmt numFmtId="164" formatCode="_(* #,##0.00_);_(* \(#,##0.00\);_(* &quot;-&quot;??_);_(@_)"/>
      <protection locked="0" hidden="0"/>
    </dxf>
    <dxf>
      <alignment horizontal="general" vertical="bottom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lightUp">
          <fgColor rgb="FFFFFFFF"/>
          <bgColor rgb="FFDA9694"/>
        </patternFill>
      </fill>
      <protection locked="0" hidden="0"/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lightUp">
          <fgColor theme="0"/>
          <bgColor theme="5" tint="0.39997558519241921"/>
        </patternFill>
      </fill>
    </dxf>
    <dxf>
      <numFmt numFmtId="164" formatCode="_(* #,##0.00_);_(* \(#,##0.00\);_(* &quot;-&quot;??_);_(@_)"/>
    </dxf>
    <dxf>
      <numFmt numFmtId="164" formatCode="_(* #,##0.00_);_(* \(#,##0.00\);_(* &quot;-&quot;??_);_(@_)"/>
    </dxf>
    <dxf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lightUp">
          <fgColor rgb="FFFFFFFF"/>
          <bgColor rgb="FFDA9694"/>
        </patternFill>
      </fill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lightUp">
          <fgColor theme="0"/>
          <bgColor theme="5" tint="0.39997558519241921"/>
        </patternFill>
      </fill>
    </dxf>
    <dxf>
      <numFmt numFmtId="164" formatCode="_(* #,##0.00_);_(* \(#,##0.00\);_(* &quot;-&quot;??_);_(@_)"/>
    </dxf>
    <dxf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lightUp">
          <fgColor rgb="FFFFFFFF"/>
          <bgColor rgb="FFDA9694"/>
        </patternFill>
      </fill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lightUp">
          <fgColor theme="0"/>
          <bgColor theme="5" tint="0.39997558519241921"/>
        </patternFill>
      </fill>
    </dxf>
    <dxf>
      <numFmt numFmtId="164" formatCode="_(* #,##0.00_);_(* \(#,##0.00\);_(* &quot;-&quot;??_);_(@_)"/>
    </dxf>
    <dxf>
      <numFmt numFmtId="164" formatCode="_(* #,##0.00_);_(* \(#,##0.00\);_(* &quot;-&quot;??_);_(@_)"/>
    </dxf>
    <dxf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lightUp">
          <fgColor theme="0"/>
          <bgColor theme="5" tint="0.39997558519241921"/>
        </patternFill>
      </fill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lightUp">
          <fgColor theme="0"/>
          <bgColor theme="5" tint="0.39997558519241921"/>
        </patternFill>
      </fill>
    </dxf>
    <dxf>
      <numFmt numFmtId="164" formatCode="_(* #,##0.00_);_(* \(#,##0.00\);_(* &quot;-&quot;??_);_(@_)"/>
    </dxf>
    <dxf>
      <numFmt numFmtId="164" formatCode="_(* #,##0.00_);_(* \(#,##0.00\);_(* &quot;-&quot;??_);_(@_)"/>
    </dxf>
    <dxf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lightUp">
          <fgColor theme="0"/>
          <bgColor theme="5" tint="0.39997558519241921"/>
        </patternFill>
      </fill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lightUp">
          <fgColor theme="0"/>
          <bgColor theme="5" tint="0.39997558519241921"/>
        </patternFill>
      </fill>
    </dxf>
    <dxf>
      <numFmt numFmtId="164" formatCode="_(* #,##0.00_);_(* \(#,##0.00\);_(* &quot;-&quot;??_);_(@_)"/>
    </dxf>
    <dxf>
      <numFmt numFmtId="164" formatCode="_(* #,##0.00_);_(* \(#,##0.00\);_(* &quot;-&quot;??_);_(@_)"/>
    </dxf>
    <dxf>
      <alignment horizontal="general" vertical="bottom" textRotation="0" wrapText="1" indent="0" justifyLastLine="0" shrinkToFit="0" readingOrder="0"/>
    </dxf>
    <dxf>
      <fill>
        <patternFill patternType="lightUp">
          <fgColor theme="0"/>
          <bgColor theme="4" tint="0.39997558519241921"/>
        </patternFill>
      </fill>
    </dxf>
    <dxf>
      <fill>
        <patternFill patternType="lightUp">
          <fgColor theme="0"/>
          <bgColor theme="4" tint="0.39997558519241921"/>
        </patternFill>
      </fill>
    </dxf>
    <dxf>
      <numFmt numFmtId="164" formatCode="_(* #,##0.00_);_(* \(#,##0.00\);_(* &quot;-&quot;??_);_(@_)"/>
    </dxf>
    <dxf>
      <numFmt numFmtId="164" formatCode="_(* #,##0.00_);_(* \(#,##0.00\);_(* &quot;-&quot;??_);_(@_)"/>
    </dxf>
    <dxf>
      <alignment horizontal="general" vertical="bottom" textRotation="0" wrapText="1" indent="0" justifyLastLine="0" shrinkToFit="0" readingOrder="0"/>
    </dxf>
    <dxf>
      <fill>
        <patternFill patternType="lightUp">
          <fgColor theme="0"/>
          <bgColor theme="4" tint="0.39997558519241921"/>
        </patternFill>
      </fill>
    </dxf>
    <dxf>
      <fill>
        <patternFill patternType="lightUp">
          <fgColor theme="0"/>
          <bgColor theme="4" tint="0.39997558519241921"/>
        </patternFill>
      </fill>
    </dxf>
    <dxf>
      <numFmt numFmtId="164" formatCode="_(* #,##0.00_);_(* \(#,##0.00\);_(* &quot;-&quot;??_);_(@_)"/>
    </dxf>
    <dxf>
      <numFmt numFmtId="164" formatCode="_(* #,##0.00_);_(* \(#,##0.00\);_(* &quot;-&quot;??_);_(@_)"/>
    </dxf>
    <dxf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lightUp">
          <fgColor theme="0"/>
          <bgColor theme="5" tint="0.39997558519241921"/>
        </patternFill>
      </fill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lightUp">
          <fgColor theme="0"/>
          <bgColor theme="5" tint="0.39997558519241921"/>
        </patternFill>
      </fill>
    </dxf>
    <dxf>
      <numFmt numFmtId="164" formatCode="_(* #,##0.00_);_(* \(#,##0.00\);_(* &quot;-&quot;??_);_(@_)"/>
    </dxf>
    <dxf>
      <numFmt numFmtId="164" formatCode="_(* #,##0.00_);_(* \(#,##0.00\);_(* &quot;-&quot;??_);_(@_)"/>
    </dxf>
    <dxf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lightUp">
          <fgColor theme="0"/>
          <bgColor theme="5" tint="0.39997558519241921"/>
        </patternFill>
      </fill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lightUp">
          <fgColor theme="0"/>
          <bgColor theme="5" tint="0.39997558519241921"/>
        </patternFill>
      </fill>
    </dxf>
    <dxf>
      <numFmt numFmtId="164" formatCode="_(* #,##0.00_);_(* \(#,##0.00\);_(* &quot;-&quot;??_);_(@_)"/>
    </dxf>
    <dxf>
      <numFmt numFmtId="164" formatCode="_(* #,##0.00_);_(* \(#,##0.00\);_(* &quot;-&quot;??_);_(@_)"/>
    </dxf>
    <dxf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lightUp">
          <fgColor theme="0"/>
          <bgColor theme="5" tint="0.39997558519241921"/>
        </patternFill>
      </fill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lightUp">
          <fgColor theme="0"/>
          <bgColor theme="5" tint="0.39997558519241921"/>
        </patternFill>
      </fill>
    </dxf>
    <dxf>
      <numFmt numFmtId="164" formatCode="_(* #,##0.00_);_(* \(#,##0.00\);_(* &quot;-&quot;??_);_(@_)"/>
    </dxf>
    <dxf>
      <numFmt numFmtId="164" formatCode="_(* #,##0.00_);_(* \(#,##0.00\);_(* &quot;-&quot;??_);_(@_)"/>
    </dxf>
    <dxf>
      <alignment horizontal="general" vertical="bottom" textRotation="0" wrapText="1" indent="0" justifyLastLine="0" shrinkToFit="0" readingOrder="0"/>
    </dxf>
    <dxf>
      <fill>
        <patternFill patternType="lightUp">
          <fgColor theme="0"/>
          <bgColor theme="4" tint="0.39997558519241921"/>
        </patternFill>
      </fill>
    </dxf>
    <dxf>
      <fill>
        <patternFill patternType="lightUp">
          <fgColor theme="0"/>
          <bgColor theme="4" tint="0.39997558519241921"/>
        </patternFill>
      </fill>
    </dxf>
    <dxf>
      <numFmt numFmtId="164" formatCode="_(* #,##0.00_);_(* \(#,##0.00\);_(* &quot;-&quot;??_);_(@_)"/>
    </dxf>
    <dxf>
      <numFmt numFmtId="164" formatCode="_(* #,##0.00_);_(* \(#,##0.00\);_(* &quot;-&quot;??_);_(@_)"/>
    </dxf>
    <dxf>
      <alignment horizontal="general" vertical="bottom" textRotation="0" wrapText="1" indent="0" justifyLastLine="0" shrinkToFit="0" readingOrder="0"/>
    </dxf>
    <dxf>
      <fill>
        <patternFill patternType="lightUp">
          <fgColor theme="0"/>
          <bgColor theme="4" tint="0.39997558519241921"/>
        </patternFill>
      </fill>
    </dxf>
    <dxf>
      <fill>
        <patternFill patternType="lightUp">
          <fgColor theme="0"/>
          <bgColor theme="4" tint="0.399975585192419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0" name="fixedassets11" displayName="fixedassets11" ref="B10:D14" totalsRowCount="1" headerRowDxfId="121" totalsRowDxfId="120">
  <tableColumns count="3">
    <tableColumn id="1" name="Immobilizzazioni" totalsRowLabel="Totale immobilizzazioni" dataDxfId="119" totalsRowDxfId="38" dataCellStyle="Normale 2"/>
    <tableColumn id="2" name="Colonna1" totalsRowFunction="sum" dataDxfId="118" totalsRowDxfId="37" dataCellStyle="Normale 2"/>
    <tableColumn id="3" name="Lepida spa" totalsRowFunction="sum" dataDxfId="117" totalsRowDxfId="36" dataCellStyle="Normale 2"/>
  </tableColumns>
  <tableStyleInfo name="TableStyleMedium9" showFirstColumn="0" showLastColumn="0" showRowStripes="1" showColumnStripes="0"/>
</table>
</file>

<file path=xl/tables/table10.xml><?xml version="1.0" encoding="utf-8"?>
<table xmlns="http://schemas.openxmlformats.org/spreadsheetml/2006/main" id="19" name="currentliabilities1320" displayName="currentliabilities1320" ref="B5:D10" totalsRowCount="1" headerRowDxfId="76" totalsRowDxfId="75">
  <tableColumns count="3">
    <tableColumn id="1" name="Valore della produzione" totalsRowLabel="Totale valore della produzione" dataDxfId="74" totalsRowDxfId="17"/>
    <tableColumn id="2" name="Colonna1" totalsRowFunction="sum" dataDxfId="2" totalsRowDxfId="3"/>
    <tableColumn id="3" name="Lepida spa" totalsRowFunction="sum" dataDxfId="73" totalsRowDxfId="16"/>
  </tableColumns>
  <tableStyleInfo name="TableStyleMedium10" showFirstColumn="0" showLastColumn="0" showRowStripes="1" showColumnStripes="0"/>
</table>
</file>

<file path=xl/tables/table11.xml><?xml version="1.0" encoding="utf-8"?>
<table xmlns="http://schemas.openxmlformats.org/spreadsheetml/2006/main" id="20" name="longtermliabilities1421" displayName="longtermliabilities1421" ref="B12:D22" totalsRowCount="1" headerRowDxfId="72" totalsRowDxfId="71">
  <tableColumns count="3">
    <tableColumn id="1" name="Costi della produzioni" totalsRowLabel="Totale costi della produzione" dataDxfId="70" totalsRowDxfId="15"/>
    <tableColumn id="2" name="Colonna1" totalsRowFunction="sum" dataDxfId="69" totalsRowDxfId="14"/>
    <tableColumn id="3" name="Lepida spa" totalsRowFunction="sum" dataDxfId="68" totalsRowDxfId="13"/>
  </tableColumns>
  <tableStyleInfo name="TableStyleMedium10" showFirstColumn="0" showLastColumn="0" showRowStripes="1" showColumnStripes="0"/>
</table>
</file>

<file path=xl/tables/table12.xml><?xml version="1.0" encoding="utf-8"?>
<table xmlns="http://schemas.openxmlformats.org/spreadsheetml/2006/main" id="21" name="ownersequity1522" displayName="ownersequity1522" ref="B24:D26" insertRow="1" totalsRowCount="1" headerRowDxfId="67" totalsRowDxfId="66">
  <tableColumns count="3">
    <tableColumn id="1" name="Colonna1" totalsRowLabel="Differenza tra valore e costi della produzione" dataDxfId="65" totalsRowDxfId="6"/>
    <tableColumn id="2" name="Colonna2" totalsRowFunction="custom" dataDxfId="64" totalsRowDxfId="5">
      <totalsRowFormula>currentliabilities13[[#Totals],[Colonna1]]-longtermliabilities14[[#Totals],[Colonna1]]</totalsRowFormula>
    </tableColumn>
    <tableColumn id="3" name="Lepida spa" totalsRowFunction="custom" dataDxfId="63" totalsRowDxfId="4">
      <totalsRowFormula>currentliabilities1320[[#Totals],[Lepida spa]]-longtermliabilities1421[[#Totals],[Lepida spa]]</totalsRowFormula>
    </tableColumn>
  </tableColumns>
  <tableStyleInfo name="TableStyleMedium10" showFirstColumn="0" showLastColumn="0" showRowStripes="1" showColumnStripes="0"/>
</table>
</file>

<file path=xl/tables/table13.xml><?xml version="1.0" encoding="utf-8"?>
<table xmlns="http://schemas.openxmlformats.org/spreadsheetml/2006/main" id="22" name="ownersequity91823" displayName="ownersequity91823" ref="B28:D33" totalsRowCount="1" headerRowDxfId="62" totalsRowDxfId="61">
  <tableColumns count="3">
    <tableColumn id="1" name="Proventi ed oneri finanziari" totalsRowLabel="Totale proventi ed oneri finanziari" dataDxfId="60" totalsRowDxfId="12"/>
    <tableColumn id="2" name="Colonna1" totalsRowFunction="custom" dataDxfId="59" totalsRowDxfId="11">
      <totalsRowFormula>C29+C30-C31-C32</totalsRowFormula>
    </tableColumn>
    <tableColumn id="3" name="Lepida spa" totalsRowFunction="custom" dataDxfId="58" totalsRowDxfId="10">
      <totalsRowFormula>D29+D30-D31-D32</totalsRowFormula>
    </tableColumn>
  </tableColumns>
  <tableStyleInfo name="TableStyleMedium10" showFirstColumn="0" showLastColumn="0" showRowStripes="1" showColumnStripes="0"/>
</table>
</file>

<file path=xl/tables/table14.xml><?xml version="1.0" encoding="utf-8"?>
<table xmlns="http://schemas.openxmlformats.org/spreadsheetml/2006/main" id="23" name="ownersequity101924" displayName="ownersequity101924" ref="B35:D38" totalsRowCount="1" headerRowDxfId="57" totalsRowDxfId="56">
  <tableColumns count="3">
    <tableColumn id="1" name="Rettifiche di valore di attività finanziarie" totalsRowLabel="Totale rettifiche di valore di attività finanziarie" dataDxfId="55" totalsRowDxfId="41"/>
    <tableColumn id="2" name="Colonna1" totalsRowFunction="sum" dataDxfId="54" totalsRowDxfId="40"/>
    <tableColumn id="3" name="Lepida spa" totalsRowFunction="sum" dataDxfId="53" totalsRowDxfId="39"/>
  </tableColumns>
  <tableStyleInfo name="TableStyleMedium10" showFirstColumn="0" showLastColumn="0" showRowStripes="1" showColumnStripes="0"/>
</table>
</file>

<file path=xl/tables/table15.xml><?xml version="1.0" encoding="utf-8"?>
<table xmlns="http://schemas.openxmlformats.org/spreadsheetml/2006/main" id="24" name="ownersequity101926" displayName="ownersequity101926" ref="B40:D43" totalsRowCount="1" headerRowDxfId="52" totalsRowDxfId="51">
  <tableColumns count="3">
    <tableColumn id="1" name="Proventi ed oneri straordinari" totalsRowLabel="Totale proventi ed oneri straordinari" dataDxfId="50" totalsRowDxfId="9"/>
    <tableColumn id="2" name="Colonna1" totalsRowFunction="custom" dataDxfId="49" totalsRowDxfId="8">
      <totalsRowFormula>C41-C42</totalsRowFormula>
    </tableColumn>
    <tableColumn id="3" name="Lepida spa" totalsRowFunction="custom" dataDxfId="48" totalsRowDxfId="7">
      <totalsRowFormula>D41-D42</totalsRowFormula>
    </tableColumn>
  </tableColumns>
  <tableStyleInfo name="TableStyleMedium10" showFirstColumn="0" showLastColumn="0" showRowStripes="1" showColumnStripes="0"/>
</table>
</file>

<file path=xl/tables/table2.xml><?xml version="1.0" encoding="utf-8"?>
<table xmlns="http://schemas.openxmlformats.org/spreadsheetml/2006/main" id="11" name="otherassets12" displayName="otherassets12" ref="B16:D21" totalsRowCount="1" headerRowDxfId="116" totalsRowDxfId="115">
  <tableColumns count="3">
    <tableColumn id="1" name="Attivo circolante" totalsRowLabel="Totale attivo circolante" dataDxfId="114" totalsRowDxfId="35" dataCellStyle="Normale 2"/>
    <tableColumn id="2" name="Colonna1" totalsRowFunction="sum" dataDxfId="113" totalsRowDxfId="34" dataCellStyle="Normale 2"/>
    <tableColumn id="3" name="Lepida spa" totalsRowFunction="sum" dataDxfId="112" totalsRowDxfId="33" dataCellStyle="Normale 2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12" name="currentliabilities13" displayName="currentliabilities13" ref="B30:D40" totalsRowCount="1" headerRowDxfId="111" totalsRowDxfId="110">
  <tableColumns count="3">
    <tableColumn id="1" name="Patrimonio netto" totalsRowLabel="Totale patrimonio netto" dataDxfId="109" totalsRowDxfId="20" dataCellStyle="Normale 2"/>
    <tableColumn id="2" name="Colonna1" totalsRowFunction="sum" dataDxfId="108" totalsRowDxfId="19" dataCellStyle="Normale 2"/>
    <tableColumn id="3" name="Lepida spa" totalsRowFunction="sum" dataDxfId="107" totalsRowDxfId="18" dataCellStyle="Normale 2"/>
  </tableColumns>
  <tableStyleInfo name="TableStyleMedium10" showFirstColumn="0" showLastColumn="0" showRowStripes="1" showColumnStripes="0"/>
</table>
</file>

<file path=xl/tables/table4.xml><?xml version="1.0" encoding="utf-8"?>
<table xmlns="http://schemas.openxmlformats.org/spreadsheetml/2006/main" id="13" name="longtermliabilities14" displayName="longtermliabilities14" ref="B42:D44" totalsRowCount="1" headerRowDxfId="106" totalsRowDxfId="105">
  <tableColumns count="3">
    <tableColumn id="1" name="Fondi rischi e oneri" totalsRowLabel="Totale fondi rischi e oneri" dataDxfId="104" totalsRowDxfId="44" dataCellStyle="Normale 2"/>
    <tableColumn id="2" name="Colonna1" totalsRowFunction="sum" dataDxfId="103" totalsRowDxfId="43" dataCellStyle="Normale 2"/>
    <tableColumn id="3" name="Lepida spa" totalsRowFunction="sum" dataDxfId="102" totalsRowDxfId="42" dataCellStyle="Normale 2"/>
  </tableColumns>
  <tableStyleInfo name="TableStyleMedium10" showFirstColumn="0" showLastColumn="0" showRowStripes="1" showColumnStripes="0"/>
</table>
</file>

<file path=xl/tables/table5.xml><?xml version="1.0" encoding="utf-8"?>
<table xmlns="http://schemas.openxmlformats.org/spreadsheetml/2006/main" id="14" name="ownersequity15" displayName="ownersequity15" ref="B46:D48" totalsRowCount="1" headerRowDxfId="101" totalsRowDxfId="100">
  <tableColumns count="3">
    <tableColumn id="1" name="Trattamento di fine rapporto" totalsRowLabel="Totale trattamento di fine rapporto" dataDxfId="99" totalsRowDxfId="29" dataCellStyle="Normale 2"/>
    <tableColumn id="2" name="Colonna1" totalsRowFunction="sum" dataDxfId="98" totalsRowDxfId="28" dataCellStyle="Normale 2"/>
    <tableColumn id="3" name="Lepida spa" totalsRowFunction="sum" dataDxfId="97" totalsRowDxfId="27" dataCellStyle="Normale 2"/>
  </tableColumns>
  <tableStyleInfo name="TableStyleMedium10" showFirstColumn="0" showLastColumn="0" showRowStripes="1" showColumnStripes="0"/>
</table>
</file>

<file path=xl/tables/table6.xml><?xml version="1.0" encoding="utf-8"?>
<table xmlns="http://schemas.openxmlformats.org/spreadsheetml/2006/main" id="15" name="currentassets16" displayName="currentassets16" ref="B5:D8" totalsRowCount="1" headerRowDxfId="96" totalsRowDxfId="95">
  <tableColumns count="3">
    <tableColumn id="1" name="Crediti verso soci per versamenti ancora dovuti" totalsRowLabel="Totale crediti verso soci per versamenti ancora dovuti" dataDxfId="94" totalsRowDxfId="47" dataCellStyle="Normale 2"/>
    <tableColumn id="2" name="Colonna1" totalsRowFunction="sum" dataDxfId="93" totalsRowDxfId="46" dataCellStyle="Normale 2"/>
    <tableColumn id="3" name="Lepida spa" totalsRowFunction="sum" dataDxfId="92" totalsRowDxfId="45" dataCellStyle="Normale 2"/>
  </tableColumns>
  <tableStyleInfo name="TableStyleMedium9" showFirstColumn="0" showLastColumn="0" showRowStripes="1" showColumnStripes="0"/>
</table>
</file>

<file path=xl/tables/table7.xml><?xml version="1.0" encoding="utf-8"?>
<table xmlns="http://schemas.openxmlformats.org/spreadsheetml/2006/main" id="16" name="otherassets817" displayName="otherassets817" ref="B23:D25" totalsRowCount="1" headerRowDxfId="91" totalsRowDxfId="90">
  <tableColumns count="3">
    <tableColumn id="1" name="Ratei e risconti" totalsRowLabel="Totale ratei e risconti" dataDxfId="89" totalsRowDxfId="32" dataCellStyle="Normale 2"/>
    <tableColumn id="2" name="Colonna1" totalsRowFunction="sum" dataDxfId="88" totalsRowDxfId="31" dataCellStyle="Normale 2"/>
    <tableColumn id="3" name="Lepida spa" totalsRowFunction="sum" dataDxfId="87" totalsRowDxfId="30" dataCellStyle="Normale 2"/>
  </tableColumns>
  <tableStyleInfo name="TableStyleMedium9" showFirstColumn="0" showLastColumn="0" showRowStripes="1" showColumnStripes="0"/>
</table>
</file>

<file path=xl/tables/table8.xml><?xml version="1.0" encoding="utf-8"?>
<table xmlns="http://schemas.openxmlformats.org/spreadsheetml/2006/main" id="17" name="ownersequity918" displayName="ownersequity918" ref="B50:D53" totalsRowCount="1" headerRowDxfId="86" totalsRowDxfId="85">
  <tableColumns count="3">
    <tableColumn id="1" name="Debiti" totalsRowLabel="Totale debit" dataDxfId="84" totalsRowDxfId="26" dataCellStyle="Normale 2"/>
    <tableColumn id="2" name="Colonna1" totalsRowFunction="sum" dataDxfId="83" totalsRowDxfId="25" dataCellStyle="Normale 2"/>
    <tableColumn id="3" name="Lepida spa" totalsRowFunction="sum" dataDxfId="82" totalsRowDxfId="24" dataCellStyle="Normale 2"/>
  </tableColumns>
  <tableStyleInfo name="TableStyleMedium10" showFirstColumn="0" showLastColumn="0" showRowStripes="1" showColumnStripes="0"/>
</table>
</file>

<file path=xl/tables/table9.xml><?xml version="1.0" encoding="utf-8"?>
<table xmlns="http://schemas.openxmlformats.org/spreadsheetml/2006/main" id="18" name="ownersequity1019" displayName="ownersequity1019" ref="B55:D57" totalsRowCount="1" headerRowDxfId="81" totalsRowDxfId="80">
  <tableColumns count="3">
    <tableColumn id="1" name="Ratei e risconti" totalsRowLabel="Totale ratei e risconti" dataDxfId="79" totalsRowDxfId="23" dataCellStyle="Normale 2"/>
    <tableColumn id="2" name="Colonna1" totalsRowFunction="sum" dataDxfId="78" totalsRowDxfId="22" dataCellStyle="Normale 2"/>
    <tableColumn id="3" name="Lepida spa" totalsRowFunction="sum" dataDxfId="77" totalsRowDxfId="21" dataCellStyle="Normale 2"/>
  </tableColumns>
  <tableStyleInfo name="TableStyleMedium10" showFirstColumn="0" showLastColumn="0" showRowStripes="1" showColumnStripes="0"/>
</table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6.xml"/><Relationship Id="rId3" Type="http://schemas.openxmlformats.org/officeDocument/2006/relationships/table" Target="../tables/table1.xml"/><Relationship Id="rId7" Type="http://schemas.openxmlformats.org/officeDocument/2006/relationships/table" Target="../tables/table5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..\Bilanci%202012\Dati%20partecipate%20per%20sito%20PERLAPA%202012.xls" TargetMode="External"/><Relationship Id="rId6" Type="http://schemas.openxmlformats.org/officeDocument/2006/relationships/table" Target="../tables/table4.xml"/><Relationship Id="rId11" Type="http://schemas.openxmlformats.org/officeDocument/2006/relationships/table" Target="../tables/table9.xml"/><Relationship Id="rId5" Type="http://schemas.openxmlformats.org/officeDocument/2006/relationships/table" Target="../tables/table3.xml"/><Relationship Id="rId10" Type="http://schemas.openxmlformats.org/officeDocument/2006/relationships/table" Target="../tables/table8.xml"/><Relationship Id="rId4" Type="http://schemas.openxmlformats.org/officeDocument/2006/relationships/table" Target="../tables/table2.xml"/><Relationship Id="rId9" Type="http://schemas.openxmlformats.org/officeDocument/2006/relationships/table" Target="../tables/table7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1.xml"/><Relationship Id="rId7" Type="http://schemas.openxmlformats.org/officeDocument/2006/relationships/table" Target="../tables/table15.xml"/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14.xml"/><Relationship Id="rId5" Type="http://schemas.openxmlformats.org/officeDocument/2006/relationships/table" Target="../tables/table13.xml"/><Relationship Id="rId4" Type="http://schemas.openxmlformats.org/officeDocument/2006/relationships/table" Target="../tables/table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62"/>
  <sheetViews>
    <sheetView topLeftCell="A16" workbookViewId="0">
      <selection activeCell="G33" sqref="G33"/>
    </sheetView>
  </sheetViews>
  <sheetFormatPr defaultRowHeight="12.75" x14ac:dyDescent="0.2"/>
  <cols>
    <col min="1" max="1" width="2.85546875" style="2" customWidth="1"/>
    <col min="2" max="2" width="46.7109375" style="7" customWidth="1"/>
    <col min="3" max="4" width="17.5703125" style="7" customWidth="1"/>
    <col min="5" max="6" width="17.85546875" style="2" bestFit="1" customWidth="1"/>
    <col min="7" max="7" width="19.140625" style="2" bestFit="1" customWidth="1"/>
    <col min="8" max="9" width="17.85546875" style="2" bestFit="1" customWidth="1"/>
    <col min="10" max="10" width="21.140625" style="2" bestFit="1" customWidth="1"/>
    <col min="11" max="16384" width="9.140625" style="2"/>
  </cols>
  <sheetData>
    <row r="1" spans="2:10" x14ac:dyDescent="0.2">
      <c r="B1" s="1" t="s">
        <v>50</v>
      </c>
      <c r="C1" s="1"/>
      <c r="D1" s="1"/>
      <c r="E1" s="1"/>
      <c r="F1" s="1"/>
      <c r="G1" s="1"/>
      <c r="H1" s="1"/>
      <c r="I1" s="1"/>
      <c r="J1" s="1"/>
    </row>
    <row r="2" spans="2:10" ht="13.5" thickBot="1" x14ac:dyDescent="0.25">
      <c r="B2" s="3"/>
      <c r="C2" s="3"/>
      <c r="D2" s="3"/>
      <c r="E2" s="3"/>
      <c r="F2" s="3"/>
      <c r="G2" s="3"/>
      <c r="H2" s="3"/>
      <c r="I2" s="3"/>
      <c r="J2" s="3"/>
    </row>
    <row r="3" spans="2:10" ht="18.75" customHeight="1" thickTop="1" thickBot="1" x14ac:dyDescent="0.35">
      <c r="B3" s="4"/>
      <c r="C3" s="5"/>
      <c r="D3" s="5"/>
      <c r="E3" s="5"/>
      <c r="F3" s="5"/>
      <c r="G3" s="5"/>
      <c r="H3" s="5"/>
      <c r="I3" s="5"/>
      <c r="J3" s="5"/>
    </row>
    <row r="4" spans="2:10" ht="15.75" thickTop="1" x14ac:dyDescent="0.25">
      <c r="B4" s="6" t="s">
        <v>0</v>
      </c>
      <c r="D4" s="8"/>
    </row>
    <row r="5" spans="2:10" ht="13.5" thickBot="1" x14ac:dyDescent="0.25">
      <c r="B5" s="9" t="s">
        <v>1</v>
      </c>
      <c r="C5" s="10" t="s">
        <v>68</v>
      </c>
      <c r="D5" s="10" t="s">
        <v>2</v>
      </c>
      <c r="E5" s="11" t="s">
        <v>3</v>
      </c>
      <c r="F5" s="11" t="s">
        <v>4</v>
      </c>
      <c r="G5" s="11" t="s">
        <v>5</v>
      </c>
      <c r="H5" s="11" t="s">
        <v>6</v>
      </c>
      <c r="I5" s="11" t="s">
        <v>7</v>
      </c>
      <c r="J5" s="11" t="s">
        <v>8</v>
      </c>
    </row>
    <row r="6" spans="2:10" ht="13.5" thickTop="1" x14ac:dyDescent="0.2">
      <c r="B6" s="12" t="s">
        <v>9</v>
      </c>
      <c r="C6" s="13">
        <v>0</v>
      </c>
      <c r="D6" s="13">
        <v>0</v>
      </c>
      <c r="E6" s="13">
        <v>7368600</v>
      </c>
      <c r="F6" s="13">
        <v>0</v>
      </c>
      <c r="G6" s="13">
        <v>0</v>
      </c>
      <c r="H6" s="13">
        <v>0</v>
      </c>
      <c r="I6" s="13">
        <v>0</v>
      </c>
      <c r="J6" s="13">
        <v>0</v>
      </c>
    </row>
    <row r="7" spans="2:10" ht="13.5" thickBot="1" x14ac:dyDescent="0.25">
      <c r="B7" s="12" t="s">
        <v>10</v>
      </c>
      <c r="C7" s="13">
        <v>0</v>
      </c>
      <c r="D7" s="13">
        <v>0</v>
      </c>
      <c r="E7" s="14"/>
      <c r="F7" s="14">
        <v>0</v>
      </c>
      <c r="G7" s="14">
        <v>0</v>
      </c>
      <c r="H7" s="14">
        <v>0</v>
      </c>
      <c r="I7" s="14">
        <v>0</v>
      </c>
      <c r="J7" s="14">
        <v>0</v>
      </c>
    </row>
    <row r="8" spans="2:10" ht="13.5" thickTop="1" x14ac:dyDescent="0.2">
      <c r="B8" s="15" t="s">
        <v>11</v>
      </c>
      <c r="C8" s="16">
        <f>SUBTOTAL(109,currentassets16[Colonna1])</f>
        <v>0</v>
      </c>
      <c r="D8" s="16">
        <f>SUBTOTAL(109,currentassets16[Lepida spa])</f>
        <v>0</v>
      </c>
      <c r="E8" s="17">
        <f>SUM(E6:E7)</f>
        <v>7368600</v>
      </c>
      <c r="F8" s="17">
        <f t="shared" ref="F8:J8" si="0">SUM(F6:F7)</f>
        <v>0</v>
      </c>
      <c r="G8" s="17">
        <f t="shared" si="0"/>
        <v>0</v>
      </c>
      <c r="H8" s="17">
        <f t="shared" si="0"/>
        <v>0</v>
      </c>
      <c r="I8" s="17">
        <f t="shared" si="0"/>
        <v>0</v>
      </c>
      <c r="J8" s="17">
        <f t="shared" si="0"/>
        <v>0</v>
      </c>
    </row>
    <row r="9" spans="2:10" x14ac:dyDescent="0.2">
      <c r="B9" s="2"/>
      <c r="C9" s="2"/>
      <c r="D9" s="2"/>
    </row>
    <row r="10" spans="2:10" ht="13.5" thickBot="1" x14ac:dyDescent="0.25">
      <c r="B10" s="9" t="s">
        <v>12</v>
      </c>
      <c r="C10" s="10" t="s">
        <v>68</v>
      </c>
      <c r="D10" s="10" t="s">
        <v>2</v>
      </c>
      <c r="E10" s="11" t="s">
        <v>3</v>
      </c>
      <c r="F10" s="11" t="s">
        <v>4</v>
      </c>
      <c r="G10" s="11" t="s">
        <v>5</v>
      </c>
      <c r="H10" s="11" t="s">
        <v>6</v>
      </c>
      <c r="I10" s="11" t="s">
        <v>7</v>
      </c>
      <c r="J10" s="11" t="s">
        <v>8</v>
      </c>
    </row>
    <row r="11" spans="2:10" ht="13.5" thickTop="1" x14ac:dyDescent="0.2">
      <c r="B11" s="12" t="s">
        <v>13</v>
      </c>
      <c r="C11" s="13"/>
      <c r="D11" s="13">
        <v>4289495</v>
      </c>
      <c r="E11" s="13">
        <v>5779</v>
      </c>
      <c r="F11" s="13">
        <v>3597718</v>
      </c>
      <c r="G11" s="13">
        <v>10900383</v>
      </c>
      <c r="H11" s="13">
        <v>408173</v>
      </c>
      <c r="I11" s="13">
        <v>6527</v>
      </c>
      <c r="J11" s="13">
        <f>15341000+1351065000+124596000+163578000</f>
        <v>1654580000</v>
      </c>
    </row>
    <row r="12" spans="2:10" x14ac:dyDescent="0.2">
      <c r="B12" s="12" t="s">
        <v>14</v>
      </c>
      <c r="C12" s="13">
        <v>0</v>
      </c>
      <c r="D12" s="13">
        <v>27142205</v>
      </c>
      <c r="E12" s="14">
        <v>128498</v>
      </c>
      <c r="F12" s="14">
        <v>28257022</v>
      </c>
      <c r="G12" s="14">
        <v>178000288</v>
      </c>
      <c r="H12" s="14">
        <v>14924</v>
      </c>
      <c r="I12" s="14">
        <v>272670</v>
      </c>
      <c r="J12" s="14">
        <v>3201332000</v>
      </c>
    </row>
    <row r="13" spans="2:10" ht="13.5" thickBot="1" x14ac:dyDescent="0.25">
      <c r="B13" s="12" t="s">
        <v>15</v>
      </c>
      <c r="C13" s="13">
        <v>0</v>
      </c>
      <c r="D13" s="13">
        <v>0</v>
      </c>
      <c r="E13" s="13">
        <v>8353346</v>
      </c>
      <c r="F13" s="13">
        <v>0</v>
      </c>
      <c r="G13" s="13">
        <v>0</v>
      </c>
      <c r="H13" s="13">
        <v>0</v>
      </c>
      <c r="I13" s="13">
        <v>300393</v>
      </c>
      <c r="J13" s="13">
        <f>15492000+60167000+59153000+309820000</f>
        <v>444632000</v>
      </c>
    </row>
    <row r="14" spans="2:10" ht="13.5" thickTop="1" x14ac:dyDescent="0.2">
      <c r="B14" s="15" t="s">
        <v>16</v>
      </c>
      <c r="C14" s="16">
        <f>SUBTOTAL(109,fixedassets11[Colonna1])</f>
        <v>0</v>
      </c>
      <c r="D14" s="16">
        <f>SUBTOTAL(109,fixedassets11[Lepida spa])</f>
        <v>31431700</v>
      </c>
      <c r="E14" s="17">
        <f>SUM(E11:E13)</f>
        <v>8487623</v>
      </c>
      <c r="F14" s="17">
        <f t="shared" ref="F14:J14" si="1">SUM(F11:F13)</f>
        <v>31854740</v>
      </c>
      <c r="G14" s="17">
        <f t="shared" si="1"/>
        <v>188900671</v>
      </c>
      <c r="H14" s="17">
        <f t="shared" si="1"/>
        <v>423097</v>
      </c>
      <c r="I14" s="17">
        <f t="shared" si="1"/>
        <v>579590</v>
      </c>
      <c r="J14" s="17">
        <f t="shared" si="1"/>
        <v>5300544000</v>
      </c>
    </row>
    <row r="15" spans="2:10" x14ac:dyDescent="0.2">
      <c r="B15" s="2"/>
      <c r="C15" s="2"/>
      <c r="D15" s="2"/>
    </row>
    <row r="16" spans="2:10" ht="13.5" thickBot="1" x14ac:dyDescent="0.25">
      <c r="B16" s="9" t="s">
        <v>17</v>
      </c>
      <c r="C16" s="10" t="s">
        <v>68</v>
      </c>
      <c r="D16" s="10" t="s">
        <v>2</v>
      </c>
      <c r="E16" s="11" t="s">
        <v>3</v>
      </c>
      <c r="F16" s="11" t="s">
        <v>4</v>
      </c>
      <c r="G16" s="11" t="s">
        <v>5</v>
      </c>
      <c r="H16" s="11" t="s">
        <v>6</v>
      </c>
      <c r="I16" s="11" t="s">
        <v>7</v>
      </c>
      <c r="J16" s="11" t="s">
        <v>8</v>
      </c>
    </row>
    <row r="17" spans="2:10" ht="13.5" thickTop="1" x14ac:dyDescent="0.2">
      <c r="B17" s="12" t="s">
        <v>18</v>
      </c>
      <c r="C17" s="13">
        <v>0</v>
      </c>
      <c r="D17" s="13">
        <v>123984</v>
      </c>
      <c r="E17" s="14">
        <v>0</v>
      </c>
      <c r="F17" s="14">
        <v>0</v>
      </c>
      <c r="G17" s="14">
        <v>0</v>
      </c>
      <c r="H17" s="14">
        <v>401974</v>
      </c>
      <c r="I17" s="14">
        <v>269113</v>
      </c>
      <c r="J17" s="14">
        <v>107872000</v>
      </c>
    </row>
    <row r="18" spans="2:10" x14ac:dyDescent="0.2">
      <c r="B18" s="12" t="s">
        <v>19</v>
      </c>
      <c r="C18" s="13"/>
      <c r="D18" s="13">
        <v>12807538</v>
      </c>
      <c r="E18" s="14">
        <v>7582344</v>
      </c>
      <c r="F18" s="14">
        <v>711477</v>
      </c>
      <c r="G18" s="14">
        <v>3833275</v>
      </c>
      <c r="H18" s="14">
        <v>152090</v>
      </c>
      <c r="I18" s="14">
        <v>137816</v>
      </c>
      <c r="J18" s="14">
        <f>1050310000+5805000+216599000+3588000</f>
        <v>1276302000</v>
      </c>
    </row>
    <row r="19" spans="2:10" ht="25.5" x14ac:dyDescent="0.2">
      <c r="B19" s="12" t="s">
        <v>20</v>
      </c>
      <c r="C19" s="13"/>
      <c r="D19" s="13">
        <v>0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  <c r="J19" s="14">
        <v>255774000</v>
      </c>
    </row>
    <row r="20" spans="2:10" ht="13.5" thickBot="1" x14ac:dyDescent="0.25">
      <c r="B20" s="12" t="s">
        <v>21</v>
      </c>
      <c r="C20" s="13"/>
      <c r="D20" s="13">
        <v>6480688</v>
      </c>
      <c r="E20" s="14">
        <v>17561</v>
      </c>
      <c r="F20" s="14">
        <v>150191</v>
      </c>
      <c r="G20" s="14">
        <v>235304</v>
      </c>
      <c r="H20" s="14">
        <v>200519</v>
      </c>
      <c r="I20" s="14">
        <v>313292</v>
      </c>
      <c r="J20" s="14">
        <v>55613000</v>
      </c>
    </row>
    <row r="21" spans="2:10" ht="13.5" thickTop="1" x14ac:dyDescent="0.2">
      <c r="B21" s="15" t="s">
        <v>22</v>
      </c>
      <c r="C21" s="16">
        <f>SUBTOTAL(109,otherassets12[Colonna1])</f>
        <v>0</v>
      </c>
      <c r="D21" s="16">
        <f>SUBTOTAL(109,otherassets12[Lepida spa])</f>
        <v>19412210</v>
      </c>
      <c r="E21" s="17">
        <f>SUM(E17:E20)</f>
        <v>7599905</v>
      </c>
      <c r="F21" s="17">
        <f t="shared" ref="F21:J21" si="2">SUM(F17:F20)</f>
        <v>861668</v>
      </c>
      <c r="G21" s="17">
        <f t="shared" si="2"/>
        <v>4068579</v>
      </c>
      <c r="H21" s="17">
        <f t="shared" si="2"/>
        <v>754583</v>
      </c>
      <c r="I21" s="17">
        <f t="shared" si="2"/>
        <v>720221</v>
      </c>
      <c r="J21" s="17">
        <f t="shared" si="2"/>
        <v>1695561000</v>
      </c>
    </row>
    <row r="22" spans="2:10" x14ac:dyDescent="0.2">
      <c r="B22" s="18"/>
      <c r="C22" s="19"/>
      <c r="D22" s="19"/>
      <c r="E22" s="19"/>
      <c r="F22" s="19"/>
      <c r="G22" s="19"/>
      <c r="H22" s="19"/>
      <c r="I22" s="19"/>
      <c r="J22" s="19"/>
    </row>
    <row r="23" spans="2:10" ht="13.5" thickBot="1" x14ac:dyDescent="0.25">
      <c r="B23" s="9" t="s">
        <v>23</v>
      </c>
      <c r="C23" s="10" t="s">
        <v>68</v>
      </c>
      <c r="D23" s="10" t="s">
        <v>2</v>
      </c>
      <c r="E23" s="11" t="s">
        <v>3</v>
      </c>
      <c r="F23" s="11" t="s">
        <v>4</v>
      </c>
      <c r="G23" s="11" t="s">
        <v>5</v>
      </c>
      <c r="H23" s="11" t="s">
        <v>6</v>
      </c>
      <c r="I23" s="11" t="s">
        <v>7</v>
      </c>
      <c r="J23" s="11" t="s">
        <v>8</v>
      </c>
    </row>
    <row r="24" spans="2:10" ht="14.25" thickTop="1" thickBot="1" x14ac:dyDescent="0.25">
      <c r="B24" s="12" t="s">
        <v>23</v>
      </c>
      <c r="C24" s="13"/>
      <c r="D24" s="13">
        <v>89607</v>
      </c>
      <c r="E24" s="14">
        <v>39607</v>
      </c>
      <c r="F24" s="14">
        <v>976</v>
      </c>
      <c r="G24" s="14">
        <v>7158</v>
      </c>
      <c r="H24" s="14">
        <v>2792</v>
      </c>
      <c r="I24" s="14">
        <v>2943</v>
      </c>
      <c r="J24" s="14"/>
    </row>
    <row r="25" spans="2:10" ht="13.5" thickTop="1" x14ac:dyDescent="0.2">
      <c r="B25" s="15" t="s">
        <v>24</v>
      </c>
      <c r="C25" s="16">
        <f>SUBTOTAL(109,otherassets817[Colonna1])</f>
        <v>0</v>
      </c>
      <c r="D25" s="16">
        <f>SUBTOTAL(109,otherassets817[Lepida spa])</f>
        <v>89607</v>
      </c>
      <c r="E25" s="17">
        <f>SUM(E24)</f>
        <v>39607</v>
      </c>
      <c r="F25" s="17">
        <f t="shared" ref="F25:J25" si="3">SUM(F24)</f>
        <v>976</v>
      </c>
      <c r="G25" s="17">
        <f t="shared" si="3"/>
        <v>7158</v>
      </c>
      <c r="H25" s="17">
        <f t="shared" si="3"/>
        <v>2792</v>
      </c>
      <c r="I25" s="17">
        <f t="shared" si="3"/>
        <v>2943</v>
      </c>
      <c r="J25" s="17">
        <f t="shared" si="3"/>
        <v>0</v>
      </c>
    </row>
    <row r="26" spans="2:10" x14ac:dyDescent="0.2">
      <c r="B26" s="20"/>
      <c r="C26" s="21"/>
      <c r="D26" s="22"/>
      <c r="E26" s="22"/>
      <c r="F26" s="22"/>
      <c r="G26" s="22"/>
      <c r="H26" s="22"/>
      <c r="I26" s="22"/>
      <c r="J26" s="22"/>
    </row>
    <row r="27" spans="2:10" ht="18" thickBot="1" x14ac:dyDescent="0.35">
      <c r="B27" s="23" t="s">
        <v>25</v>
      </c>
      <c r="C27" s="24">
        <f>currentassets16[[#Totals],[Colonna1]]+fixedassets11[[#Totals],[Colonna1]]+otherassets12[[#Totals],[Colonna1]]+otherassets817[[#Totals],[Colonna1]]</f>
        <v>0</v>
      </c>
      <c r="D27" s="24">
        <f>currentassets16[[#Totals],[Lepida spa]]+fixedassets11[[#Totals],[Lepida spa]]+otherassets12[[#Totals],[Lepida spa]]+otherassets817[[#Totals],[Lepida spa]]</f>
        <v>50933517</v>
      </c>
      <c r="E27" s="24">
        <f>E8+E14+E21+E25</f>
        <v>23495735</v>
      </c>
      <c r="F27" s="24">
        <f t="shared" ref="F27:J27" si="4">F14+F21+F25</f>
        <v>32717384</v>
      </c>
      <c r="G27" s="24">
        <f t="shared" si="4"/>
        <v>192976408</v>
      </c>
      <c r="H27" s="24">
        <f t="shared" si="4"/>
        <v>1180472</v>
      </c>
      <c r="I27" s="24">
        <f t="shared" si="4"/>
        <v>1302754</v>
      </c>
      <c r="J27" s="24">
        <f t="shared" si="4"/>
        <v>6996105000</v>
      </c>
    </row>
    <row r="28" spans="2:10" ht="18.75" thickTop="1" thickBot="1" x14ac:dyDescent="0.35">
      <c r="B28" s="25"/>
      <c r="C28" s="26"/>
      <c r="D28" s="26"/>
      <c r="E28" s="26"/>
      <c r="F28" s="26"/>
      <c r="G28" s="26"/>
      <c r="H28" s="26"/>
      <c r="I28" s="26"/>
      <c r="J28" s="26"/>
    </row>
    <row r="29" spans="2:10" ht="15.75" thickTop="1" x14ac:dyDescent="0.25">
      <c r="B29" s="6" t="s">
        <v>26</v>
      </c>
      <c r="C29" s="27"/>
      <c r="D29" s="28"/>
      <c r="E29" s="28"/>
      <c r="F29" s="28"/>
      <c r="G29" s="28"/>
      <c r="H29" s="28"/>
      <c r="I29" s="28"/>
      <c r="J29" s="28"/>
    </row>
    <row r="30" spans="2:10" ht="13.5" thickBot="1" x14ac:dyDescent="0.25">
      <c r="B30" s="29" t="s">
        <v>27</v>
      </c>
      <c r="C30" s="30" t="s">
        <v>68</v>
      </c>
      <c r="D30" s="30" t="s">
        <v>2</v>
      </c>
      <c r="E30" s="31" t="s">
        <v>3</v>
      </c>
      <c r="F30" s="31" t="s">
        <v>4</v>
      </c>
      <c r="G30" s="31" t="s">
        <v>28</v>
      </c>
      <c r="H30" s="31" t="s">
        <v>29</v>
      </c>
      <c r="I30" s="31" t="s">
        <v>7</v>
      </c>
      <c r="J30" s="31" t="s">
        <v>8</v>
      </c>
    </row>
    <row r="31" spans="2:10" ht="13.5" thickTop="1" x14ac:dyDescent="0.2">
      <c r="B31" s="32" t="s">
        <v>30</v>
      </c>
      <c r="C31" s="33"/>
      <c r="D31" s="33">
        <v>35594000</v>
      </c>
      <c r="E31" s="34">
        <v>9406598</v>
      </c>
      <c r="F31" s="34">
        <v>20800000</v>
      </c>
      <c r="G31" s="34">
        <v>120000</v>
      </c>
      <c r="H31" s="34">
        <v>38000</v>
      </c>
      <c r="I31" s="34">
        <v>52000</v>
      </c>
      <c r="J31" s="34">
        <f>1276226000+216526000</f>
        <v>1492752000</v>
      </c>
    </row>
    <row r="32" spans="2:10" x14ac:dyDescent="0.2">
      <c r="B32" s="32" t="s">
        <v>31</v>
      </c>
      <c r="C32" s="33"/>
      <c r="D32" s="33">
        <v>0</v>
      </c>
      <c r="E32" s="34">
        <v>0</v>
      </c>
      <c r="F32" s="34">
        <v>0</v>
      </c>
      <c r="G32" s="34">
        <v>0</v>
      </c>
      <c r="H32" s="34">
        <v>20000</v>
      </c>
      <c r="I32" s="34">
        <v>0</v>
      </c>
      <c r="J32" s="34"/>
    </row>
    <row r="33" spans="2:10" x14ac:dyDescent="0.2">
      <c r="B33" s="32" t="s">
        <v>32</v>
      </c>
      <c r="C33" s="33"/>
      <c r="D33" s="33">
        <v>0</v>
      </c>
      <c r="E33" s="34">
        <v>0</v>
      </c>
      <c r="F33" s="34">
        <v>0</v>
      </c>
      <c r="G33" s="34">
        <v>3025673</v>
      </c>
      <c r="H33" s="34">
        <v>0</v>
      </c>
      <c r="I33" s="34">
        <v>204149</v>
      </c>
      <c r="J33" s="34"/>
    </row>
    <row r="34" spans="2:10" x14ac:dyDescent="0.2">
      <c r="B34" s="32" t="s">
        <v>33</v>
      </c>
      <c r="C34" s="33"/>
      <c r="D34" s="33">
        <v>40094</v>
      </c>
      <c r="E34" s="34">
        <v>0</v>
      </c>
      <c r="F34" s="34">
        <v>131578</v>
      </c>
      <c r="G34" s="34">
        <v>24000</v>
      </c>
      <c r="H34" s="34">
        <v>1327</v>
      </c>
      <c r="I34" s="34">
        <v>14073</v>
      </c>
      <c r="J34" s="34"/>
    </row>
    <row r="35" spans="2:10" x14ac:dyDescent="0.2">
      <c r="B35" s="32" t="s">
        <v>34</v>
      </c>
      <c r="C35" s="33"/>
      <c r="D35" s="33">
        <v>0</v>
      </c>
      <c r="E35" s="34">
        <v>0</v>
      </c>
      <c r="F35" s="34">
        <v>0</v>
      </c>
      <c r="G35" s="34"/>
      <c r="H35" s="34">
        <v>0</v>
      </c>
      <c r="I35" s="34">
        <v>20977</v>
      </c>
      <c r="J35" s="34"/>
    </row>
    <row r="36" spans="2:10" x14ac:dyDescent="0.2">
      <c r="B36" s="32" t="s">
        <v>35</v>
      </c>
      <c r="C36" s="33"/>
      <c r="D36" s="33">
        <v>0</v>
      </c>
      <c r="E36" s="34">
        <v>0</v>
      </c>
      <c r="F36" s="34">
        <v>0</v>
      </c>
      <c r="G36" s="34"/>
      <c r="H36" s="34">
        <v>0</v>
      </c>
      <c r="I36" s="34"/>
      <c r="J36" s="34"/>
    </row>
    <row r="37" spans="2:10" x14ac:dyDescent="0.2">
      <c r="B37" s="32" t="s">
        <v>36</v>
      </c>
      <c r="C37" s="33"/>
      <c r="D37" s="33">
        <v>761781</v>
      </c>
      <c r="E37" s="34">
        <v>-2</v>
      </c>
      <c r="F37" s="34">
        <v>25323</v>
      </c>
      <c r="G37" s="34">
        <f>123098695+1804189</f>
        <v>124902884</v>
      </c>
      <c r="H37" s="34">
        <v>400005</v>
      </c>
      <c r="I37" s="34">
        <v>67187</v>
      </c>
      <c r="J37" s="34">
        <v>415721000</v>
      </c>
    </row>
    <row r="38" spans="2:10" x14ac:dyDescent="0.2">
      <c r="B38" s="32" t="s">
        <v>37</v>
      </c>
      <c r="C38" s="33"/>
      <c r="D38" s="33">
        <v>0</v>
      </c>
      <c r="E38" s="34">
        <v>0</v>
      </c>
      <c r="F38" s="34">
        <v>2291984</v>
      </c>
      <c r="G38" s="34">
        <v>5028633</v>
      </c>
      <c r="H38" s="34">
        <v>-114981</v>
      </c>
      <c r="I38" s="34">
        <v>0</v>
      </c>
      <c r="J38" s="34"/>
    </row>
    <row r="39" spans="2:10" ht="13.5" thickBot="1" x14ac:dyDescent="0.25">
      <c r="B39" s="32" t="s">
        <v>38</v>
      </c>
      <c r="C39" s="33"/>
      <c r="D39" s="33">
        <v>208798</v>
      </c>
      <c r="E39" s="34">
        <v>2895</v>
      </c>
      <c r="F39" s="34">
        <v>281966</v>
      </c>
      <c r="G39" s="34">
        <v>1934603</v>
      </c>
      <c r="H39" s="34">
        <v>37694</v>
      </c>
      <c r="I39" s="34">
        <v>55673</v>
      </c>
      <c r="J39" s="34">
        <v>80554000</v>
      </c>
    </row>
    <row r="40" spans="2:10" ht="13.5" thickTop="1" x14ac:dyDescent="0.2">
      <c r="B40" s="35" t="s">
        <v>39</v>
      </c>
      <c r="C40" s="36">
        <f>SUBTOTAL(109,currentliabilities13[Colonna1])</f>
        <v>0</v>
      </c>
      <c r="D40" s="36">
        <f>SUBTOTAL(109,currentliabilities13[Lepida spa])</f>
        <v>36604673</v>
      </c>
      <c r="E40" s="37">
        <f>SUM(E31:E39)</f>
        <v>9409491</v>
      </c>
      <c r="F40" s="37">
        <f t="shared" ref="F40:J40" si="5">SUM(F31:F39)</f>
        <v>23530851</v>
      </c>
      <c r="G40" s="37">
        <f t="shared" si="5"/>
        <v>135035793</v>
      </c>
      <c r="H40" s="37">
        <f t="shared" si="5"/>
        <v>382045</v>
      </c>
      <c r="I40" s="37">
        <f t="shared" si="5"/>
        <v>414059</v>
      </c>
      <c r="J40" s="37">
        <f t="shared" si="5"/>
        <v>1989027000</v>
      </c>
    </row>
    <row r="41" spans="2:10" x14ac:dyDescent="0.2">
      <c r="B41" s="2"/>
      <c r="C41" s="2"/>
      <c r="D41" s="2"/>
    </row>
    <row r="42" spans="2:10" ht="13.5" thickBot="1" x14ac:dyDescent="0.25">
      <c r="B42" s="29" t="s">
        <v>40</v>
      </c>
      <c r="C42" s="30" t="s">
        <v>68</v>
      </c>
      <c r="D42" s="30" t="s">
        <v>2</v>
      </c>
      <c r="E42" s="31" t="s">
        <v>3</v>
      </c>
      <c r="F42" s="31" t="s">
        <v>4</v>
      </c>
      <c r="G42" s="31" t="s">
        <v>28</v>
      </c>
      <c r="H42" s="31" t="s">
        <v>29</v>
      </c>
      <c r="I42" s="31" t="s">
        <v>7</v>
      </c>
      <c r="J42" s="31" t="s">
        <v>8</v>
      </c>
    </row>
    <row r="43" spans="2:10" ht="14.25" thickTop="1" thickBot="1" x14ac:dyDescent="0.25">
      <c r="B43" s="32" t="s">
        <v>40</v>
      </c>
      <c r="C43" s="33"/>
      <c r="D43" s="33">
        <v>0</v>
      </c>
      <c r="E43" s="34">
        <v>419713</v>
      </c>
      <c r="F43" s="34">
        <v>0</v>
      </c>
      <c r="G43" s="34">
        <v>0</v>
      </c>
      <c r="H43" s="34">
        <v>0</v>
      </c>
      <c r="I43" s="34">
        <v>35266</v>
      </c>
      <c r="J43" s="34">
        <f>1913299000+288769000+179231000+190289000</f>
        <v>2571588000</v>
      </c>
    </row>
    <row r="44" spans="2:10" ht="13.5" thickTop="1" x14ac:dyDescent="0.2">
      <c r="B44" s="35" t="s">
        <v>41</v>
      </c>
      <c r="C44" s="36">
        <f>SUBTOTAL(109,longtermliabilities14[Colonna1])</f>
        <v>0</v>
      </c>
      <c r="D44" s="36">
        <f>SUBTOTAL(109,longtermliabilities14[Lepida spa])</f>
        <v>0</v>
      </c>
      <c r="E44" s="37">
        <f>SUM(E43)</f>
        <v>419713</v>
      </c>
      <c r="F44" s="37">
        <f t="shared" ref="F44:J44" si="6">SUM(F43)</f>
        <v>0</v>
      </c>
      <c r="G44" s="37">
        <f t="shared" si="6"/>
        <v>0</v>
      </c>
      <c r="H44" s="37">
        <f t="shared" si="6"/>
        <v>0</v>
      </c>
      <c r="I44" s="37">
        <f t="shared" si="6"/>
        <v>35266</v>
      </c>
      <c r="J44" s="37">
        <f t="shared" si="6"/>
        <v>2571588000</v>
      </c>
    </row>
    <row r="45" spans="2:10" x14ac:dyDescent="0.2">
      <c r="B45" s="2"/>
      <c r="C45" s="2"/>
      <c r="D45" s="2"/>
    </row>
    <row r="46" spans="2:10" ht="13.5" thickBot="1" x14ac:dyDescent="0.25">
      <c r="B46" s="29" t="s">
        <v>42</v>
      </c>
      <c r="C46" s="30" t="s">
        <v>68</v>
      </c>
      <c r="D46" s="30" t="s">
        <v>2</v>
      </c>
      <c r="E46" s="31" t="s">
        <v>3</v>
      </c>
      <c r="F46" s="31" t="s">
        <v>4</v>
      </c>
      <c r="G46" s="31" t="s">
        <v>28</v>
      </c>
      <c r="H46" s="31" t="s">
        <v>29</v>
      </c>
      <c r="I46" s="31" t="s">
        <v>7</v>
      </c>
      <c r="J46" s="31" t="s">
        <v>8</v>
      </c>
    </row>
    <row r="47" spans="2:10" ht="14.25" thickTop="1" thickBot="1" x14ac:dyDescent="0.25">
      <c r="B47" s="32" t="s">
        <v>42</v>
      </c>
      <c r="C47" s="33">
        <v>0</v>
      </c>
      <c r="D47" s="33">
        <v>852070</v>
      </c>
      <c r="E47" s="34">
        <v>174480</v>
      </c>
      <c r="F47" s="34">
        <v>0</v>
      </c>
      <c r="G47" s="34">
        <v>0</v>
      </c>
      <c r="H47" s="34">
        <v>118640</v>
      </c>
      <c r="I47" s="34">
        <v>154882</v>
      </c>
      <c r="J47" s="34">
        <v>118034000</v>
      </c>
    </row>
    <row r="48" spans="2:10" ht="13.5" thickTop="1" x14ac:dyDescent="0.2">
      <c r="B48" s="35" t="s">
        <v>43</v>
      </c>
      <c r="C48" s="36">
        <f>SUBTOTAL(109,ownersequity15[Colonna1])</f>
        <v>0</v>
      </c>
      <c r="D48" s="36">
        <f>SUBTOTAL(109,ownersequity15[Lepida spa])</f>
        <v>852070</v>
      </c>
      <c r="E48" s="37">
        <f>SUM(E47)</f>
        <v>174480</v>
      </c>
      <c r="F48" s="37">
        <f t="shared" ref="F48:J48" si="7">SUM(F47)</f>
        <v>0</v>
      </c>
      <c r="G48" s="37">
        <f t="shared" si="7"/>
        <v>0</v>
      </c>
      <c r="H48" s="37">
        <f t="shared" si="7"/>
        <v>118640</v>
      </c>
      <c r="I48" s="37">
        <f t="shared" si="7"/>
        <v>154882</v>
      </c>
      <c r="J48" s="37">
        <f t="shared" si="7"/>
        <v>118034000</v>
      </c>
    </row>
    <row r="49" spans="2:10" x14ac:dyDescent="0.2">
      <c r="B49" s="18"/>
      <c r="C49" s="19"/>
      <c r="D49" s="19"/>
      <c r="E49" s="19"/>
      <c r="F49" s="19"/>
      <c r="G49" s="19"/>
      <c r="H49" s="19"/>
      <c r="I49" s="19"/>
      <c r="J49" s="19"/>
    </row>
    <row r="50" spans="2:10" ht="13.5" thickBot="1" x14ac:dyDescent="0.25">
      <c r="B50" s="29" t="s">
        <v>44</v>
      </c>
      <c r="C50" s="30" t="s">
        <v>68</v>
      </c>
      <c r="D50" s="30" t="s">
        <v>2</v>
      </c>
      <c r="E50" s="31" t="s">
        <v>3</v>
      </c>
      <c r="F50" s="31" t="s">
        <v>4</v>
      </c>
      <c r="G50" s="31" t="s">
        <v>28</v>
      </c>
      <c r="H50" s="31" t="s">
        <v>29</v>
      </c>
      <c r="I50" s="31" t="s">
        <v>7</v>
      </c>
      <c r="J50" s="31" t="s">
        <v>8</v>
      </c>
    </row>
    <row r="51" spans="2:10" ht="13.5" thickTop="1" x14ac:dyDescent="0.2">
      <c r="B51" s="32" t="s">
        <v>45</v>
      </c>
      <c r="C51" s="33"/>
      <c r="D51" s="33">
        <v>12807532</v>
      </c>
      <c r="E51" s="34">
        <f>2321070+1999775+661017+121+684482+22471+49391+2493222</f>
        <v>8231549</v>
      </c>
      <c r="F51" s="34">
        <f>368683+23100+19988</f>
        <v>411771</v>
      </c>
      <c r="G51" s="34">
        <f>2288995+2953965+748+656</f>
        <v>5244364</v>
      </c>
      <c r="H51" s="34">
        <v>679088</v>
      </c>
      <c r="I51" s="34">
        <v>662644</v>
      </c>
      <c r="J51" s="34">
        <f>2317450000+6000</f>
        <v>2317456000</v>
      </c>
    </row>
    <row r="52" spans="2:10" ht="13.5" thickBot="1" x14ac:dyDescent="0.25">
      <c r="B52" s="32" t="s">
        <v>46</v>
      </c>
      <c r="C52" s="33"/>
      <c r="D52" s="33">
        <v>0</v>
      </c>
      <c r="E52" s="34">
        <v>5028082</v>
      </c>
      <c r="F52" s="34">
        <v>8583459</v>
      </c>
      <c r="G52" s="34">
        <v>52582838</v>
      </c>
      <c r="H52" s="34">
        <v>0</v>
      </c>
      <c r="I52" s="34">
        <v>0</v>
      </c>
      <c r="J52" s="34"/>
    </row>
    <row r="53" spans="2:10" ht="13.5" thickTop="1" x14ac:dyDescent="0.2">
      <c r="B53" s="35" t="s">
        <v>47</v>
      </c>
      <c r="C53" s="36">
        <f>SUBTOTAL(109,ownersequity918[Colonna1])</f>
        <v>0</v>
      </c>
      <c r="D53" s="36">
        <f>SUBTOTAL(109,ownersequity918[Lepida spa])</f>
        <v>12807532</v>
      </c>
      <c r="E53" s="37">
        <f>SUM(E51:E52)</f>
        <v>13259631</v>
      </c>
      <c r="F53" s="37">
        <f t="shared" ref="F53:J53" si="8">SUM(F51:F52)</f>
        <v>8995230</v>
      </c>
      <c r="G53" s="37">
        <f t="shared" si="8"/>
        <v>57827202</v>
      </c>
      <c r="H53" s="37">
        <f t="shared" si="8"/>
        <v>679088</v>
      </c>
      <c r="I53" s="37">
        <f t="shared" si="8"/>
        <v>662644</v>
      </c>
      <c r="J53" s="37">
        <f t="shared" si="8"/>
        <v>2317456000</v>
      </c>
    </row>
    <row r="54" spans="2:10" x14ac:dyDescent="0.2">
      <c r="B54" s="18"/>
      <c r="C54" s="19"/>
      <c r="D54" s="19"/>
      <c r="E54" s="19"/>
      <c r="F54" s="19"/>
      <c r="G54" s="19"/>
      <c r="H54" s="19"/>
      <c r="I54" s="19"/>
      <c r="J54" s="19"/>
    </row>
    <row r="55" spans="2:10" ht="13.5" thickBot="1" x14ac:dyDescent="0.25">
      <c r="B55" s="29" t="s">
        <v>23</v>
      </c>
      <c r="C55" s="30" t="s">
        <v>68</v>
      </c>
      <c r="D55" s="30" t="s">
        <v>2</v>
      </c>
      <c r="E55" s="31" t="s">
        <v>3</v>
      </c>
      <c r="F55" s="31" t="s">
        <v>4</v>
      </c>
      <c r="G55" s="31" t="s">
        <v>28</v>
      </c>
      <c r="H55" s="31" t="s">
        <v>29</v>
      </c>
      <c r="I55" s="31" t="s">
        <v>7</v>
      </c>
      <c r="J55" s="31" t="s">
        <v>8</v>
      </c>
    </row>
    <row r="56" spans="2:10" ht="14.25" thickTop="1" thickBot="1" x14ac:dyDescent="0.25">
      <c r="B56" s="32" t="s">
        <v>23</v>
      </c>
      <c r="C56" s="33">
        <v>0</v>
      </c>
      <c r="D56" s="33">
        <v>669242</v>
      </c>
      <c r="E56" s="33">
        <v>232420</v>
      </c>
      <c r="F56" s="33">
        <v>191303</v>
      </c>
      <c r="G56" s="33">
        <v>113413</v>
      </c>
      <c r="H56" s="33">
        <v>699</v>
      </c>
      <c r="I56" s="33">
        <v>35903</v>
      </c>
      <c r="J56" s="33"/>
    </row>
    <row r="57" spans="2:10" ht="13.5" thickTop="1" x14ac:dyDescent="0.2">
      <c r="B57" s="35" t="s">
        <v>24</v>
      </c>
      <c r="C57" s="36">
        <f>SUBTOTAL(109,ownersequity1019[Colonna1])</f>
        <v>0</v>
      </c>
      <c r="D57" s="36">
        <f>SUBTOTAL(109,ownersequity1019[Lepida spa])</f>
        <v>669242</v>
      </c>
      <c r="E57" s="37">
        <f>SUM(E56)</f>
        <v>232420</v>
      </c>
      <c r="F57" s="37">
        <f t="shared" ref="F57:J57" si="9">SUM(F56)</f>
        <v>191303</v>
      </c>
      <c r="G57" s="37">
        <f t="shared" si="9"/>
        <v>113413</v>
      </c>
      <c r="H57" s="37">
        <f t="shared" si="9"/>
        <v>699</v>
      </c>
      <c r="I57" s="37">
        <f t="shared" si="9"/>
        <v>35903</v>
      </c>
      <c r="J57" s="37">
        <f t="shared" si="9"/>
        <v>0</v>
      </c>
    </row>
    <row r="58" spans="2:10" x14ac:dyDescent="0.2">
      <c r="B58" s="38"/>
      <c r="C58" s="39"/>
      <c r="D58" s="40"/>
      <c r="E58" s="40"/>
      <c r="F58" s="40"/>
      <c r="G58" s="40"/>
      <c r="H58" s="40"/>
      <c r="I58" s="40"/>
      <c r="J58" s="40"/>
    </row>
    <row r="59" spans="2:10" ht="18" thickBot="1" x14ac:dyDescent="0.35">
      <c r="B59" s="41" t="s">
        <v>48</v>
      </c>
      <c r="C59" s="42">
        <f>currentliabilities13[[#Totals],[Colonna1]]+longtermliabilities14[[#Totals],[Colonna1]]+ownersequity15[[#Totals],[Colonna1]]+ownersequity918[[#Totals],[Colonna1]]+ownersequity1019[[#Totals],[Colonna1]]</f>
        <v>0</v>
      </c>
      <c r="D59" s="42">
        <f>currentliabilities13[[#Totals],[Lepida spa]]+longtermliabilities14[[#Totals],[Lepida spa]]+ownersequity15[[#Totals],[Lepida spa]]+ownersequity918[[#Totals],[Lepida spa]]+ownersequity1019[[#Totals],[Lepida spa]]</f>
        <v>50933517</v>
      </c>
      <c r="E59" s="42">
        <f>E40+E44+E48+E53+E57</f>
        <v>23495735</v>
      </c>
      <c r="F59" s="42">
        <f t="shared" ref="F59:J59" si="10">F40+F44+F48+F53+F57</f>
        <v>32717384</v>
      </c>
      <c r="G59" s="42">
        <f t="shared" si="10"/>
        <v>192976408</v>
      </c>
      <c r="H59" s="42">
        <f>H40+H44+H48+H53+H57</f>
        <v>1180472</v>
      </c>
      <c r="I59" s="42">
        <f t="shared" si="10"/>
        <v>1302754</v>
      </c>
      <c r="J59" s="42">
        <f t="shared" si="10"/>
        <v>6996105000</v>
      </c>
    </row>
    <row r="60" spans="2:10" ht="13.5" thickTop="1" x14ac:dyDescent="0.2">
      <c r="B60" s="43"/>
      <c r="C60" s="44"/>
      <c r="D60" s="45"/>
    </row>
    <row r="62" spans="2:10" ht="17.25" x14ac:dyDescent="0.3">
      <c r="B62" s="46" t="s">
        <v>49</v>
      </c>
      <c r="C62" s="47">
        <f>SUM(C27-C59)</f>
        <v>0</v>
      </c>
      <c r="D62" s="47">
        <f>SUM(D27-D59)</f>
        <v>0</v>
      </c>
      <c r="E62" s="47">
        <f>SUM(E27-E59)</f>
        <v>0</v>
      </c>
      <c r="F62" s="47">
        <f t="shared" ref="F62:J62" si="11">SUM(F27-F59)</f>
        <v>0</v>
      </c>
      <c r="G62" s="47">
        <f t="shared" si="11"/>
        <v>0</v>
      </c>
      <c r="H62" s="47">
        <f>SUM(H27-H59)</f>
        <v>0</v>
      </c>
      <c r="I62" s="47">
        <f t="shared" si="11"/>
        <v>0</v>
      </c>
      <c r="J62" s="47">
        <f t="shared" si="11"/>
        <v>0</v>
      </c>
    </row>
  </sheetData>
  <mergeCells count="1">
    <mergeCell ref="B1:J2"/>
  </mergeCells>
  <conditionalFormatting sqref="C62:J62">
    <cfRule type="cellIs" dxfId="1" priority="1" operator="lessThan">
      <formula>0</formula>
    </cfRule>
  </conditionalFormatting>
  <hyperlinks>
    <hyperlink ref="B1:J2" r:id="rId1" display="STATO PATRIMONIALE SOCIETA' PARTECIPATE ANNO 2012"/>
  </hyperlinks>
  <pageMargins left="0.70866141732283472" right="0.70866141732283472" top="0.74803149606299213" bottom="0.74803149606299213" header="0.31496062992125984" footer="0.31496062992125984"/>
  <pageSetup paperSize="8" scale="90" fitToHeight="2" orientation="landscape" r:id="rId2"/>
  <tableParts count="9"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52"/>
  <sheetViews>
    <sheetView tabSelected="1" workbookViewId="0">
      <selection activeCell="C5" sqref="C5:C49"/>
    </sheetView>
  </sheetViews>
  <sheetFormatPr defaultRowHeight="15" x14ac:dyDescent="0.25"/>
  <cols>
    <col min="1" max="1" width="2.85546875" customWidth="1"/>
    <col min="2" max="2" width="46.7109375" style="74" customWidth="1"/>
    <col min="3" max="4" width="17.5703125" style="74" customWidth="1"/>
    <col min="5" max="6" width="17.85546875" bestFit="1" customWidth="1"/>
    <col min="7" max="7" width="19.140625" bestFit="1" customWidth="1"/>
    <col min="8" max="9" width="17.85546875" bestFit="1" customWidth="1"/>
    <col min="10" max="10" width="19.140625" bestFit="1" customWidth="1"/>
  </cols>
  <sheetData>
    <row r="1" spans="2:10" x14ac:dyDescent="0.25">
      <c r="B1" s="48" t="s">
        <v>87</v>
      </c>
      <c r="C1" s="48"/>
      <c r="D1" s="48"/>
      <c r="E1" s="48"/>
      <c r="F1" s="48"/>
      <c r="G1" s="48"/>
      <c r="H1" s="48"/>
      <c r="I1" s="48"/>
      <c r="J1" s="48"/>
    </row>
    <row r="2" spans="2:10" ht="15.75" thickBot="1" x14ac:dyDescent="0.3">
      <c r="B2" s="49"/>
      <c r="C2" s="49"/>
      <c r="D2" s="49"/>
      <c r="E2" s="49"/>
      <c r="F2" s="49"/>
      <c r="G2" s="49"/>
      <c r="H2" s="49"/>
      <c r="I2" s="49"/>
      <c r="J2" s="49"/>
    </row>
    <row r="3" spans="2:10" ht="18.75" thickTop="1" thickBot="1" x14ac:dyDescent="0.35">
      <c r="B3" s="25"/>
      <c r="C3" s="26"/>
      <c r="D3" s="26"/>
      <c r="E3" s="26"/>
      <c r="F3" s="26"/>
      <c r="G3" s="26"/>
      <c r="H3" s="26"/>
      <c r="I3" s="26"/>
      <c r="J3" s="26"/>
    </row>
    <row r="4" spans="2:10" ht="15.75" thickTop="1" x14ac:dyDescent="0.25">
      <c r="B4" s="50"/>
      <c r="C4" s="51"/>
      <c r="D4" s="52"/>
      <c r="E4" s="52"/>
      <c r="F4" s="52"/>
      <c r="G4" s="52"/>
      <c r="H4" s="52"/>
      <c r="I4" s="52"/>
      <c r="J4" s="52"/>
    </row>
    <row r="5" spans="2:10" ht="15.75" thickBot="1" x14ac:dyDescent="0.3">
      <c r="B5" s="29" t="s">
        <v>51</v>
      </c>
      <c r="C5" s="30" t="s">
        <v>68</v>
      </c>
      <c r="D5" s="30" t="s">
        <v>2</v>
      </c>
      <c r="E5" s="31" t="s">
        <v>3</v>
      </c>
      <c r="F5" s="31" t="s">
        <v>4</v>
      </c>
      <c r="G5" s="31" t="s">
        <v>28</v>
      </c>
      <c r="H5" s="31" t="s">
        <v>29</v>
      </c>
      <c r="I5" s="31" t="s">
        <v>7</v>
      </c>
      <c r="J5" s="31" t="s">
        <v>8</v>
      </c>
    </row>
    <row r="6" spans="2:10" ht="15.75" thickTop="1" x14ac:dyDescent="0.25">
      <c r="B6" s="32" t="s">
        <v>52</v>
      </c>
      <c r="C6" s="33"/>
      <c r="D6" s="33">
        <v>18439440</v>
      </c>
      <c r="E6" s="34">
        <v>1759927</v>
      </c>
      <c r="F6" s="34">
        <v>1142000</v>
      </c>
      <c r="G6" s="34">
        <v>6900000</v>
      </c>
      <c r="H6" s="34">
        <v>334652</v>
      </c>
      <c r="I6" s="34">
        <v>1968462</v>
      </c>
      <c r="J6" s="34">
        <v>3228038000</v>
      </c>
    </row>
    <row r="7" spans="2:10" x14ac:dyDescent="0.25">
      <c r="B7" s="32" t="s">
        <v>53</v>
      </c>
      <c r="C7" s="33">
        <v>0</v>
      </c>
      <c r="D7" s="33"/>
      <c r="E7" s="34">
        <v>0</v>
      </c>
      <c r="F7" s="34"/>
      <c r="G7" s="34">
        <v>0</v>
      </c>
      <c r="H7" s="34">
        <v>88667</v>
      </c>
      <c r="I7" s="34">
        <v>-214</v>
      </c>
      <c r="J7" s="34">
        <v>-355000</v>
      </c>
    </row>
    <row r="8" spans="2:10" x14ac:dyDescent="0.25">
      <c r="B8" s="32" t="s">
        <v>54</v>
      </c>
      <c r="C8" s="33">
        <v>0</v>
      </c>
      <c r="D8" s="33"/>
      <c r="E8" s="34">
        <v>0</v>
      </c>
      <c r="F8" s="34"/>
      <c r="G8" s="34">
        <v>0</v>
      </c>
      <c r="H8" s="34">
        <v>0</v>
      </c>
      <c r="I8" s="34">
        <v>0</v>
      </c>
      <c r="J8" s="34"/>
    </row>
    <row r="9" spans="2:10" x14ac:dyDescent="0.25">
      <c r="B9" s="32" t="s">
        <v>55</v>
      </c>
      <c r="C9" s="33">
        <v>0</v>
      </c>
      <c r="D9" s="33">
        <v>421782</v>
      </c>
      <c r="E9" s="34">
        <v>1459719</v>
      </c>
      <c r="F9" s="34">
        <v>250</v>
      </c>
      <c r="G9" s="34">
        <v>8056</v>
      </c>
      <c r="H9" s="34">
        <v>724638</v>
      </c>
      <c r="I9" s="34">
        <v>16893</v>
      </c>
      <c r="J9" s="34">
        <v>220290000</v>
      </c>
    </row>
    <row r="10" spans="2:10" x14ac:dyDescent="0.25">
      <c r="B10" s="53" t="s">
        <v>56</v>
      </c>
      <c r="C10" s="54">
        <f>SUBTOTAL(109,currentliabilities1320[Colonna1])</f>
        <v>0</v>
      </c>
      <c r="D10" s="54">
        <f>SUBTOTAL(109,currentliabilities1320[Lepida spa])</f>
        <v>18861222</v>
      </c>
      <c r="E10" s="54">
        <f>SUM(E6:E9)</f>
        <v>3219646</v>
      </c>
      <c r="F10" s="54">
        <f t="shared" ref="F10:J10" si="0">SUM(F6:F9)</f>
        <v>1142250</v>
      </c>
      <c r="G10" s="54">
        <f>SUM(G6:G9)</f>
        <v>6908056</v>
      </c>
      <c r="H10" s="54">
        <f t="shared" si="0"/>
        <v>1147957</v>
      </c>
      <c r="I10" s="54">
        <f t="shared" si="0"/>
        <v>1985141</v>
      </c>
      <c r="J10" s="54">
        <f t="shared" si="0"/>
        <v>3447973000</v>
      </c>
    </row>
    <row r="11" spans="2:10" x14ac:dyDescent="0.25">
      <c r="B11"/>
      <c r="C11"/>
      <c r="D11"/>
    </row>
    <row r="12" spans="2:10" ht="15.75" thickBot="1" x14ac:dyDescent="0.3">
      <c r="B12" s="29" t="s">
        <v>57</v>
      </c>
      <c r="C12" s="30" t="s">
        <v>68</v>
      </c>
      <c r="D12" s="30" t="s">
        <v>2</v>
      </c>
      <c r="E12" s="31" t="s">
        <v>3</v>
      </c>
      <c r="F12" s="31" t="s">
        <v>4</v>
      </c>
      <c r="G12" s="31" t="s">
        <v>28</v>
      </c>
      <c r="H12" s="31" t="s">
        <v>29</v>
      </c>
      <c r="I12" s="31" t="s">
        <v>7</v>
      </c>
      <c r="J12" s="31" t="s">
        <v>8</v>
      </c>
    </row>
    <row r="13" spans="2:10" ht="15.75" thickTop="1" x14ac:dyDescent="0.25">
      <c r="B13" s="32" t="s">
        <v>58</v>
      </c>
      <c r="C13" s="33"/>
      <c r="D13" s="33">
        <v>1907311</v>
      </c>
      <c r="E13" s="34">
        <v>8670</v>
      </c>
      <c r="F13" s="34">
        <v>0</v>
      </c>
      <c r="G13" s="34">
        <v>0</v>
      </c>
      <c r="H13" s="34">
        <v>77702</v>
      </c>
      <c r="I13" s="34">
        <v>1308704</v>
      </c>
      <c r="J13" s="34">
        <v>1462729000</v>
      </c>
    </row>
    <row r="14" spans="2:10" x14ac:dyDescent="0.25">
      <c r="B14" s="32" t="s">
        <v>59</v>
      </c>
      <c r="C14" s="33"/>
      <c r="D14" s="33">
        <v>7239302</v>
      </c>
      <c r="E14" s="34">
        <v>2457633</v>
      </c>
      <c r="F14" s="34">
        <v>31648</v>
      </c>
      <c r="G14" s="34">
        <v>57733</v>
      </c>
      <c r="H14" s="34">
        <v>518878</v>
      </c>
      <c r="I14" s="34">
        <v>66536</v>
      </c>
      <c r="J14" s="34">
        <f>1000406000+89629000-24394000</f>
        <v>1065641000</v>
      </c>
    </row>
    <row r="15" spans="2:10" x14ac:dyDescent="0.25">
      <c r="B15" s="32" t="s">
        <v>60</v>
      </c>
      <c r="C15" s="33">
        <v>0</v>
      </c>
      <c r="D15" s="33">
        <v>1492886</v>
      </c>
      <c r="E15" s="34">
        <v>27072</v>
      </c>
      <c r="F15" s="34">
        <v>0</v>
      </c>
      <c r="G15" s="34">
        <v>0</v>
      </c>
      <c r="H15" s="34">
        <v>14105</v>
      </c>
      <c r="I15" s="34">
        <v>89174</v>
      </c>
      <c r="J15" s="34"/>
    </row>
    <row r="16" spans="2:10" x14ac:dyDescent="0.25">
      <c r="B16" s="32" t="s">
        <v>61</v>
      </c>
      <c r="C16" s="33">
        <v>0</v>
      </c>
      <c r="D16" s="33">
        <v>4292577</v>
      </c>
      <c r="E16" s="34">
        <v>713277</v>
      </c>
      <c r="F16" s="34">
        <v>0</v>
      </c>
      <c r="G16" s="34">
        <v>0</v>
      </c>
      <c r="H16" s="34">
        <v>448751</v>
      </c>
      <c r="I16" s="34">
        <v>366099</v>
      </c>
      <c r="J16" s="34">
        <v>273586000</v>
      </c>
    </row>
    <row r="17" spans="2:10" x14ac:dyDescent="0.25">
      <c r="B17" s="32" t="s">
        <v>62</v>
      </c>
      <c r="C17" s="33">
        <v>0</v>
      </c>
      <c r="D17" s="33">
        <v>2335403</v>
      </c>
      <c r="E17" s="34">
        <v>52668</v>
      </c>
      <c r="F17" s="34">
        <v>0</v>
      </c>
      <c r="G17" s="34">
        <v>0</v>
      </c>
      <c r="H17" s="34">
        <v>26525</v>
      </c>
      <c r="I17" s="34">
        <v>19505</v>
      </c>
      <c r="J17" s="34">
        <v>332938000</v>
      </c>
    </row>
    <row r="18" spans="2:10" x14ac:dyDescent="0.25">
      <c r="B18" s="32" t="s">
        <v>63</v>
      </c>
      <c r="C18" s="33"/>
      <c r="D18" s="33"/>
      <c r="E18" s="34"/>
      <c r="F18" s="34">
        <v>0</v>
      </c>
      <c r="G18" s="34">
        <v>0</v>
      </c>
      <c r="H18" s="34">
        <v>0</v>
      </c>
      <c r="I18" s="34">
        <v>0</v>
      </c>
      <c r="J18" s="34"/>
    </row>
    <row r="19" spans="2:10" x14ac:dyDescent="0.25">
      <c r="B19" s="32" t="s">
        <v>64</v>
      </c>
      <c r="C19" s="33"/>
      <c r="D19" s="33"/>
      <c r="E19" s="34">
        <v>15654</v>
      </c>
      <c r="F19" s="34">
        <v>0</v>
      </c>
      <c r="G19" s="34">
        <v>0</v>
      </c>
      <c r="H19" s="34">
        <v>0</v>
      </c>
      <c r="I19" s="34">
        <v>0</v>
      </c>
      <c r="J19" s="34"/>
    </row>
    <row r="20" spans="2:10" x14ac:dyDescent="0.25">
      <c r="B20" s="32" t="s">
        <v>65</v>
      </c>
      <c r="C20" s="33"/>
      <c r="D20" s="33"/>
      <c r="E20" s="34"/>
      <c r="F20" s="34">
        <v>0</v>
      </c>
      <c r="G20" s="34">
        <v>0</v>
      </c>
      <c r="H20" s="34">
        <v>0</v>
      </c>
      <c r="I20" s="34">
        <v>19991</v>
      </c>
      <c r="J20" s="34"/>
    </row>
    <row r="21" spans="2:10" ht="15.75" thickBot="1" x14ac:dyDescent="0.3">
      <c r="B21" s="32" t="s">
        <v>66</v>
      </c>
      <c r="C21" s="33"/>
      <c r="D21" s="33">
        <v>261497</v>
      </c>
      <c r="E21" s="34">
        <v>126080</v>
      </c>
      <c r="F21" s="34">
        <v>133603</v>
      </c>
      <c r="G21" s="34">
        <v>748643</v>
      </c>
      <c r="H21" s="34">
        <v>12010</v>
      </c>
      <c r="I21" s="34">
        <v>26080</v>
      </c>
      <c r="J21" s="34"/>
    </row>
    <row r="22" spans="2:10" ht="15.75" thickTop="1" x14ac:dyDescent="0.25">
      <c r="B22" s="53" t="s">
        <v>67</v>
      </c>
      <c r="C22" s="54">
        <f>SUBTOTAL(109,longtermliabilities1421[Colonna1])</f>
        <v>0</v>
      </c>
      <c r="D22" s="54">
        <f>SUBTOTAL(109,longtermliabilities1421[Lepida spa])</f>
        <v>17528976</v>
      </c>
      <c r="E22" s="55">
        <f>SUM(E13:E21)</f>
        <v>3401054</v>
      </c>
      <c r="F22" s="55">
        <f t="shared" ref="F22:J22" si="1">SUM(F13:F21)</f>
        <v>165251</v>
      </c>
      <c r="G22" s="55">
        <f t="shared" si="1"/>
        <v>806376</v>
      </c>
      <c r="H22" s="55">
        <f t="shared" si="1"/>
        <v>1097971</v>
      </c>
      <c r="I22" s="55">
        <f t="shared" si="1"/>
        <v>1896089</v>
      </c>
      <c r="J22" s="55">
        <f t="shared" si="1"/>
        <v>3134894000</v>
      </c>
    </row>
    <row r="23" spans="2:10" x14ac:dyDescent="0.25">
      <c r="B23"/>
      <c r="C23"/>
      <c r="D23"/>
    </row>
    <row r="24" spans="2:10" ht="15.75" thickBot="1" x14ac:dyDescent="0.3">
      <c r="B24" s="29" t="s">
        <v>68</v>
      </c>
      <c r="C24" s="30" t="s">
        <v>88</v>
      </c>
      <c r="D24" s="30" t="s">
        <v>2</v>
      </c>
      <c r="E24" s="31" t="s">
        <v>3</v>
      </c>
      <c r="F24" s="31" t="s">
        <v>4</v>
      </c>
      <c r="G24" s="31" t="s">
        <v>28</v>
      </c>
      <c r="H24" s="31" t="s">
        <v>29</v>
      </c>
      <c r="I24" s="31" t="s">
        <v>7</v>
      </c>
      <c r="J24" s="31" t="s">
        <v>8</v>
      </c>
    </row>
    <row r="25" spans="2:10" s="59" customFormat="1" ht="15.75" thickTop="1" x14ac:dyDescent="0.25">
      <c r="B25" s="56"/>
      <c r="C25" s="57"/>
      <c r="D25" s="57"/>
      <c r="E25" s="58"/>
      <c r="F25" s="58"/>
      <c r="G25" s="58"/>
      <c r="H25" s="58"/>
      <c r="I25" s="58"/>
      <c r="J25" s="58"/>
    </row>
    <row r="26" spans="2:10" s="59" customFormat="1" x14ac:dyDescent="0.25">
      <c r="B26" s="60" t="s">
        <v>69</v>
      </c>
      <c r="C26" s="61">
        <f>currentliabilities13[[#Totals],[Colonna1]]-longtermliabilities14[[#Totals],[Colonna1]]</f>
        <v>0</v>
      </c>
      <c r="D26" s="61">
        <f>currentliabilities1320[[#Totals],[Lepida spa]]-longtermliabilities1421[[#Totals],[Lepida spa]]</f>
        <v>1332246</v>
      </c>
      <c r="E26" s="61">
        <f>E10-E22</f>
        <v>-181408</v>
      </c>
      <c r="F26" s="61">
        <f>F10-F22</f>
        <v>976999</v>
      </c>
      <c r="G26" s="61">
        <f>G10-G22</f>
        <v>6101680</v>
      </c>
      <c r="H26" s="61">
        <f>H10-H22</f>
        <v>49986</v>
      </c>
      <c r="I26" s="61">
        <f>I10-I22</f>
        <v>89052</v>
      </c>
      <c r="J26" s="61">
        <f>J10-J22</f>
        <v>313079000</v>
      </c>
    </row>
    <row r="27" spans="2:10" x14ac:dyDescent="0.25">
      <c r="B27" s="62"/>
      <c r="C27" s="63"/>
      <c r="D27" s="63"/>
      <c r="E27" s="63"/>
      <c r="F27" s="63"/>
      <c r="G27" s="63"/>
      <c r="H27" s="63"/>
      <c r="I27" s="63"/>
      <c r="J27" s="63"/>
    </row>
    <row r="28" spans="2:10" ht="15.75" thickBot="1" x14ac:dyDescent="0.3">
      <c r="B28" s="29" t="s">
        <v>70</v>
      </c>
      <c r="C28" s="30" t="s">
        <v>68</v>
      </c>
      <c r="D28" s="30" t="s">
        <v>2</v>
      </c>
      <c r="E28" s="31" t="s">
        <v>3</v>
      </c>
      <c r="F28" s="31" t="s">
        <v>4</v>
      </c>
      <c r="G28" s="31" t="s">
        <v>28</v>
      </c>
      <c r="H28" s="31" t="s">
        <v>29</v>
      </c>
      <c r="I28" s="31" t="s">
        <v>7</v>
      </c>
      <c r="J28" s="31" t="s">
        <v>8</v>
      </c>
    </row>
    <row r="29" spans="2:10" ht="15.75" thickTop="1" x14ac:dyDescent="0.25">
      <c r="B29" s="32" t="s">
        <v>71</v>
      </c>
      <c r="C29" s="33"/>
      <c r="D29" s="33">
        <v>0</v>
      </c>
      <c r="E29" s="34">
        <v>20792</v>
      </c>
      <c r="F29" s="34">
        <v>0</v>
      </c>
      <c r="G29" s="34">
        <v>0</v>
      </c>
      <c r="H29" s="34">
        <v>0</v>
      </c>
      <c r="I29" s="34">
        <v>0</v>
      </c>
      <c r="J29" s="34"/>
    </row>
    <row r="30" spans="2:10" x14ac:dyDescent="0.25">
      <c r="B30" s="32" t="s">
        <v>72</v>
      </c>
      <c r="C30" s="33"/>
      <c r="D30" s="33">
        <v>1358</v>
      </c>
      <c r="E30" s="34">
        <v>285027</v>
      </c>
      <c r="F30" s="34">
        <v>1113</v>
      </c>
      <c r="G30" s="34">
        <v>3977</v>
      </c>
      <c r="H30" s="34">
        <v>83</v>
      </c>
      <c r="I30" s="34">
        <v>11946</v>
      </c>
      <c r="J30" s="34">
        <v>21846000</v>
      </c>
    </row>
    <row r="31" spans="2:10" x14ac:dyDescent="0.25">
      <c r="B31" s="32" t="s">
        <v>73</v>
      </c>
      <c r="C31" s="33"/>
      <c r="D31" s="33">
        <v>46729</v>
      </c>
      <c r="E31" s="64">
        <v>203440</v>
      </c>
      <c r="F31" s="64">
        <v>453967</v>
      </c>
      <c r="G31" s="64">
        <v>2814547</v>
      </c>
      <c r="H31" s="64">
        <v>813</v>
      </c>
      <c r="I31" s="64">
        <v>10</v>
      </c>
      <c r="J31" s="64">
        <v>111262000</v>
      </c>
    </row>
    <row r="32" spans="2:10" ht="15.75" thickBot="1" x14ac:dyDescent="0.3">
      <c r="B32" s="32" t="s">
        <v>74</v>
      </c>
      <c r="C32" s="33"/>
      <c r="D32" s="33">
        <v>0</v>
      </c>
      <c r="E32" s="64">
        <v>0</v>
      </c>
      <c r="F32" s="64">
        <v>0</v>
      </c>
      <c r="G32" s="64">
        <v>0</v>
      </c>
      <c r="H32" s="64">
        <v>0</v>
      </c>
      <c r="I32" s="64">
        <v>0</v>
      </c>
      <c r="J32" s="64"/>
    </row>
    <row r="33" spans="2:10" ht="15.75" thickTop="1" x14ac:dyDescent="0.25">
      <c r="B33" s="53" t="s">
        <v>75</v>
      </c>
      <c r="C33" s="54">
        <f>C29+C30-C31-C32</f>
        <v>0</v>
      </c>
      <c r="D33" s="54">
        <f>D29+D30-D31-D32</f>
        <v>-45371</v>
      </c>
      <c r="E33" s="55">
        <f>E29+E30-E31-E32</f>
        <v>102379</v>
      </c>
      <c r="F33" s="55">
        <f t="shared" ref="F33:I33" si="2">F29+F30-F31-F32</f>
        <v>-452854</v>
      </c>
      <c r="G33" s="55">
        <f t="shared" si="2"/>
        <v>-2810570</v>
      </c>
      <c r="H33" s="55">
        <f t="shared" si="2"/>
        <v>-730</v>
      </c>
      <c r="I33" s="55">
        <f t="shared" si="2"/>
        <v>11936</v>
      </c>
      <c r="J33" s="55">
        <f>J29+J30-J31-J32</f>
        <v>-89416000</v>
      </c>
    </row>
    <row r="34" spans="2:10" x14ac:dyDescent="0.25">
      <c r="B34" s="62"/>
      <c r="C34" s="63"/>
      <c r="D34" s="63"/>
      <c r="E34" s="63"/>
      <c r="F34" s="63"/>
      <c r="G34" s="63"/>
      <c r="H34" s="63"/>
      <c r="I34" s="63"/>
      <c r="J34" s="63"/>
    </row>
    <row r="35" spans="2:10" ht="15.75" thickBot="1" x14ac:dyDescent="0.3">
      <c r="B35" s="29" t="s">
        <v>76</v>
      </c>
      <c r="C35" s="30" t="s">
        <v>68</v>
      </c>
      <c r="D35" s="30" t="s">
        <v>2</v>
      </c>
      <c r="E35" s="31" t="s">
        <v>3</v>
      </c>
      <c r="F35" s="31" t="s">
        <v>4</v>
      </c>
      <c r="G35" s="31" t="s">
        <v>28</v>
      </c>
      <c r="H35" s="31" t="s">
        <v>29</v>
      </c>
      <c r="I35" s="31" t="s">
        <v>7</v>
      </c>
      <c r="J35" s="31" t="s">
        <v>8</v>
      </c>
    </row>
    <row r="36" spans="2:10" ht="15.75" thickTop="1" x14ac:dyDescent="0.25">
      <c r="B36" s="32" t="s">
        <v>77</v>
      </c>
      <c r="C36" s="33">
        <v>0</v>
      </c>
      <c r="D36" s="33">
        <v>0</v>
      </c>
      <c r="E36" s="33">
        <v>0</v>
      </c>
      <c r="F36" s="33">
        <v>0</v>
      </c>
      <c r="G36" s="33">
        <v>0</v>
      </c>
      <c r="H36" s="33"/>
      <c r="I36" s="33">
        <v>0</v>
      </c>
      <c r="J36" s="33">
        <v>10421000</v>
      </c>
    </row>
    <row r="37" spans="2:10" ht="15.75" thickBot="1" x14ac:dyDescent="0.3">
      <c r="B37" s="32" t="s">
        <v>78</v>
      </c>
      <c r="C37" s="33">
        <v>0</v>
      </c>
      <c r="D37" s="33">
        <v>0</v>
      </c>
      <c r="E37" s="33">
        <v>0</v>
      </c>
      <c r="F37" s="33">
        <v>0</v>
      </c>
      <c r="G37" s="33">
        <v>0</v>
      </c>
      <c r="H37" s="33"/>
      <c r="I37" s="33">
        <v>0</v>
      </c>
      <c r="J37" s="33">
        <v>20095000</v>
      </c>
    </row>
    <row r="38" spans="2:10" ht="15.75" thickTop="1" x14ac:dyDescent="0.25">
      <c r="B38" s="53" t="s">
        <v>79</v>
      </c>
      <c r="C38" s="54">
        <f>SUBTOTAL(109,ownersequity101924[Colonna1])</f>
        <v>0</v>
      </c>
      <c r="D38" s="54">
        <f>SUBTOTAL(109,ownersequity101924[Lepida spa])</f>
        <v>0</v>
      </c>
      <c r="E38" s="55">
        <f>SUM(E36)</f>
        <v>0</v>
      </c>
      <c r="F38" s="55">
        <f t="shared" ref="F38:H38" si="3">SUM(F36)</f>
        <v>0</v>
      </c>
      <c r="G38" s="55">
        <f t="shared" si="3"/>
        <v>0</v>
      </c>
      <c r="H38" s="55">
        <f t="shared" si="3"/>
        <v>0</v>
      </c>
      <c r="I38" s="55">
        <f>SUM(I36)</f>
        <v>0</v>
      </c>
      <c r="J38" s="55">
        <f>J36-J37</f>
        <v>-9674000</v>
      </c>
    </row>
    <row r="39" spans="2:10" x14ac:dyDescent="0.25">
      <c r="B39" s="65"/>
      <c r="C39" s="39"/>
      <c r="D39" s="40"/>
      <c r="E39" s="40"/>
      <c r="F39" s="40"/>
      <c r="G39" s="40"/>
      <c r="H39" s="40"/>
      <c r="I39" s="40"/>
      <c r="J39" s="40"/>
    </row>
    <row r="40" spans="2:10" ht="15.75" thickBot="1" x14ac:dyDescent="0.3">
      <c r="B40" s="29" t="s">
        <v>80</v>
      </c>
      <c r="C40" s="30" t="s">
        <v>68</v>
      </c>
      <c r="D40" s="30" t="s">
        <v>2</v>
      </c>
      <c r="E40" s="31" t="s">
        <v>3</v>
      </c>
      <c r="F40" s="31" t="s">
        <v>4</v>
      </c>
      <c r="G40" s="31" t="s">
        <v>28</v>
      </c>
      <c r="H40" s="31" t="s">
        <v>29</v>
      </c>
      <c r="I40" s="31" t="s">
        <v>7</v>
      </c>
      <c r="J40" s="31" t="s">
        <v>8</v>
      </c>
    </row>
    <row r="41" spans="2:10" ht="15.75" thickTop="1" x14ac:dyDescent="0.25">
      <c r="B41" s="32" t="s">
        <v>81</v>
      </c>
      <c r="C41" s="33">
        <v>0</v>
      </c>
      <c r="D41" s="33">
        <v>1</v>
      </c>
      <c r="E41" s="33">
        <v>94700</v>
      </c>
      <c r="F41" s="33">
        <v>0</v>
      </c>
      <c r="G41" s="33">
        <v>0</v>
      </c>
      <c r="H41" s="33">
        <v>45</v>
      </c>
      <c r="I41" s="33">
        <v>2459</v>
      </c>
      <c r="J41" s="33"/>
    </row>
    <row r="42" spans="2:10" ht="15.75" thickBot="1" x14ac:dyDescent="0.3">
      <c r="B42" s="32" t="s">
        <v>82</v>
      </c>
      <c r="C42" s="33">
        <v>0</v>
      </c>
      <c r="D42" s="33">
        <v>511341</v>
      </c>
      <c r="E42" s="33">
        <v>3</v>
      </c>
      <c r="F42" s="33">
        <v>0</v>
      </c>
      <c r="G42" s="33">
        <v>0</v>
      </c>
      <c r="H42" s="33">
        <v>0</v>
      </c>
      <c r="I42" s="33">
        <v>0</v>
      </c>
      <c r="J42" s="33"/>
    </row>
    <row r="43" spans="2:10" ht="15.75" thickTop="1" x14ac:dyDescent="0.25">
      <c r="B43" s="53" t="s">
        <v>83</v>
      </c>
      <c r="C43" s="54">
        <f>C41-C42</f>
        <v>0</v>
      </c>
      <c r="D43" s="54">
        <f>D41-D42</f>
        <v>-511340</v>
      </c>
      <c r="E43" s="55">
        <f>E41-E42</f>
        <v>94697</v>
      </c>
      <c r="F43" s="55">
        <f t="shared" ref="F43:J43" si="4">F41-F42</f>
        <v>0</v>
      </c>
      <c r="G43" s="55">
        <f t="shared" si="4"/>
        <v>0</v>
      </c>
      <c r="H43" s="55">
        <f t="shared" si="4"/>
        <v>45</v>
      </c>
      <c r="I43" s="55">
        <f t="shared" si="4"/>
        <v>2459</v>
      </c>
      <c r="J43" s="55">
        <f t="shared" si="4"/>
        <v>0</v>
      </c>
    </row>
    <row r="44" spans="2:10" x14ac:dyDescent="0.25">
      <c r="B44" s="62"/>
      <c r="C44" s="63"/>
      <c r="D44" s="63"/>
      <c r="E44" s="66"/>
      <c r="F44" s="66"/>
      <c r="G44" s="66"/>
      <c r="H44" s="66"/>
      <c r="I44" s="66"/>
      <c r="J44" s="66"/>
    </row>
    <row r="45" spans="2:10" x14ac:dyDescent="0.25">
      <c r="B45" s="67" t="s">
        <v>84</v>
      </c>
      <c r="C45" s="68">
        <f>ownersequity1522[[#Totals],[Colonna2]]+ownersequity91823[[#Totals],[Colonna1]]+ownersequity101924[[#Totals],[Colonna1]]+ownersequity101926[[#Totals],[Colonna1]]</f>
        <v>0</v>
      </c>
      <c r="D45" s="68">
        <f>ownersequity1522[[#Totals],[Lepida spa]]+ownersequity91823[[#Totals],[Lepida spa]]+ownersequity101924[[#Totals],[Lepida spa]]+ownersequity101926[[#Totals],[Lepida spa]]</f>
        <v>775535</v>
      </c>
      <c r="E45" s="68">
        <f>E26+E33+E38+E43</f>
        <v>15668</v>
      </c>
      <c r="F45" s="68">
        <f t="shared" ref="F45:I45" si="5">F26+F33+F38+F43</f>
        <v>524145</v>
      </c>
      <c r="G45" s="68">
        <f t="shared" si="5"/>
        <v>3291110</v>
      </c>
      <c r="H45" s="68">
        <f t="shared" si="5"/>
        <v>49301</v>
      </c>
      <c r="I45" s="68">
        <f t="shared" si="5"/>
        <v>103447</v>
      </c>
      <c r="J45" s="68">
        <f>J26+J33+J38+J43</f>
        <v>213989000</v>
      </c>
    </row>
    <row r="46" spans="2:10" x14ac:dyDescent="0.25">
      <c r="B46" s="65"/>
      <c r="C46" s="39"/>
      <c r="D46" s="40"/>
      <c r="E46" s="40"/>
      <c r="F46" s="40"/>
      <c r="G46" s="40"/>
      <c r="H46" s="40"/>
      <c r="I46" s="40"/>
      <c r="J46" s="40"/>
    </row>
    <row r="47" spans="2:10" x14ac:dyDescent="0.25">
      <c r="B47" s="32" t="s">
        <v>85</v>
      </c>
      <c r="C47" s="33">
        <v>0</v>
      </c>
      <c r="D47" s="33">
        <v>566737</v>
      </c>
      <c r="E47" s="33">
        <v>12773</v>
      </c>
      <c r="F47" s="33">
        <v>242179</v>
      </c>
      <c r="G47" s="33">
        <v>1356507</v>
      </c>
      <c r="H47" s="33">
        <v>11607</v>
      </c>
      <c r="I47" s="33">
        <v>47774</v>
      </c>
      <c r="J47" s="33">
        <v>122034000</v>
      </c>
    </row>
    <row r="48" spans="2:10" x14ac:dyDescent="0.25">
      <c r="B48" s="32"/>
      <c r="C48" s="33"/>
      <c r="D48" s="33"/>
      <c r="E48" s="33"/>
      <c r="F48" s="33"/>
      <c r="G48" s="33"/>
      <c r="H48" s="33"/>
      <c r="I48" s="33"/>
      <c r="J48" s="33"/>
    </row>
    <row r="49" spans="2:10" ht="18" thickBot="1" x14ac:dyDescent="0.35">
      <c r="B49" s="41" t="s">
        <v>86</v>
      </c>
      <c r="C49" s="42">
        <f>C45-C47</f>
        <v>0</v>
      </c>
      <c r="D49" s="42">
        <f>D45-D47</f>
        <v>208798</v>
      </c>
      <c r="E49" s="42">
        <f t="shared" ref="E49:I49" si="6">E45-E47</f>
        <v>2895</v>
      </c>
      <c r="F49" s="42">
        <f t="shared" si="6"/>
        <v>281966</v>
      </c>
      <c r="G49" s="42">
        <f t="shared" si="6"/>
        <v>1934603</v>
      </c>
      <c r="H49" s="42">
        <f t="shared" si="6"/>
        <v>37694</v>
      </c>
      <c r="I49" s="42">
        <f t="shared" si="6"/>
        <v>55673</v>
      </c>
      <c r="J49" s="42">
        <f>J45-J47</f>
        <v>91955000</v>
      </c>
    </row>
    <row r="50" spans="2:10" ht="15.75" thickTop="1" x14ac:dyDescent="0.25">
      <c r="B50" s="69"/>
      <c r="C50" s="70"/>
      <c r="D50" s="71"/>
    </row>
    <row r="52" spans="2:10" ht="17.25" x14ac:dyDescent="0.3">
      <c r="B52" s="72"/>
      <c r="C52" s="73"/>
      <c r="D52" s="73"/>
      <c r="E52" s="73"/>
      <c r="F52" s="73"/>
      <c r="G52" s="73"/>
      <c r="H52" s="73"/>
      <c r="I52" s="73"/>
      <c r="J52" s="73"/>
    </row>
  </sheetData>
  <mergeCells count="1">
    <mergeCell ref="B1:J2"/>
  </mergeCells>
  <conditionalFormatting sqref="C52:J52">
    <cfRule type="cellIs" dxfId="0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8" scale="99" fitToHeight="2" orientation="landscape" r:id="rId1"/>
  <tableParts count="6">
    <tablePart r:id="rId2"/>
    <tablePart r:id="rId3"/>
    <tablePart r:id="rId4"/>
    <tablePart r:id="rId5"/>
    <tablePart r:id="rId6"/>
    <tablePart r:id="rId7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Stato patrimoniale</vt:lpstr>
      <vt:lpstr>Conto economico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Paolo Fontanesi</dc:creator>
  <cp:lastModifiedBy>Paolo Fontanesi</cp:lastModifiedBy>
  <cp:lastPrinted>2014-07-17T09:25:21Z</cp:lastPrinted>
  <dcterms:created xsi:type="dcterms:W3CDTF">2014-07-17T06:25:01Z</dcterms:created>
  <dcterms:modified xsi:type="dcterms:W3CDTF">2014-07-17T09:26:30Z</dcterms:modified>
</cp:coreProperties>
</file>