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19140" yWindow="165" windowWidth="15480" windowHeight="11460"/>
  </bookViews>
  <sheets>
    <sheet name="Stato patrimoniale" sheetId="2" r:id="rId1"/>
    <sheet name="Conto economico" sheetId="4" r:id="rId2"/>
  </sheets>
  <definedNames>
    <definedName name="_xlnm.Print_Area" localSheetId="1">'Conto economico'!$A$1:$H$67</definedName>
    <definedName name="_xlnm.Print_Area" localSheetId="0">'Stato patrimoniale'!$A$1:$H$77</definedName>
  </definedNames>
  <calcPr calcId="145621"/>
  <webPublishing codePage="1252"/>
</workbook>
</file>

<file path=xl/calcChain.xml><?xml version="1.0" encoding="utf-8"?>
<calcChain xmlns="http://schemas.openxmlformats.org/spreadsheetml/2006/main">
  <c r="K51" i="2" l="1"/>
  <c r="K43" i="2"/>
  <c r="K31" i="2"/>
  <c r="K11" i="2"/>
  <c r="K18" i="2"/>
  <c r="K13" i="2"/>
  <c r="K29" i="4"/>
  <c r="J33" i="4" l="1"/>
  <c r="J38" i="4"/>
  <c r="J45" i="4" l="1"/>
  <c r="G10" i="4"/>
  <c r="F43" i="4"/>
  <c r="G43" i="4"/>
  <c r="H43" i="4"/>
  <c r="I43" i="4"/>
  <c r="J43" i="4"/>
  <c r="K43" i="4"/>
  <c r="E43" i="4"/>
  <c r="E26" i="4"/>
  <c r="F33" i="4"/>
  <c r="G33" i="4"/>
  <c r="H33" i="4"/>
  <c r="I33" i="4"/>
  <c r="K33" i="4"/>
  <c r="E33" i="4"/>
  <c r="E45" i="4" s="1"/>
  <c r="F22" i="4"/>
  <c r="G22" i="4"/>
  <c r="H22" i="4"/>
  <c r="H26" i="4" s="1"/>
  <c r="I22" i="4"/>
  <c r="J22" i="4"/>
  <c r="K22" i="4"/>
  <c r="E22" i="4"/>
  <c r="F10" i="4"/>
  <c r="F26" i="4" s="1"/>
  <c r="H10" i="4"/>
  <c r="I10" i="4"/>
  <c r="J10" i="4"/>
  <c r="K10" i="4"/>
  <c r="E10" i="4"/>
  <c r="D33" i="4"/>
  <c r="D45" i="4" s="1"/>
  <c r="D43" i="4"/>
  <c r="D26" i="4"/>
  <c r="C26" i="4"/>
  <c r="D10" i="4"/>
  <c r="K26" i="4" l="1"/>
  <c r="K45" i="4" s="1"/>
  <c r="J26" i="4"/>
  <c r="I26" i="4"/>
  <c r="I45" i="4" s="1"/>
  <c r="H45" i="4"/>
  <c r="G26" i="4"/>
  <c r="G45" i="4" s="1"/>
  <c r="D49" i="4"/>
  <c r="D22" i="4"/>
  <c r="C22" i="4"/>
  <c r="E49" i="4"/>
  <c r="H49" i="4"/>
  <c r="K49" i="4"/>
  <c r="C43" i="4"/>
  <c r="C33" i="4"/>
  <c r="K38" i="4"/>
  <c r="I38" i="4"/>
  <c r="H38" i="4"/>
  <c r="G38" i="4"/>
  <c r="F38" i="4"/>
  <c r="F45" i="4" s="1"/>
  <c r="F49" i="4" s="1"/>
  <c r="E38" i="4"/>
  <c r="D38" i="4"/>
  <c r="C38" i="4"/>
  <c r="C10" i="4"/>
  <c r="C45" i="4" l="1"/>
  <c r="C49" i="4" s="1"/>
  <c r="I49" i="4"/>
  <c r="J44" i="2"/>
  <c r="G52" i="2"/>
  <c r="G53" i="2" s="1"/>
  <c r="G51" i="2"/>
  <c r="H37" i="2"/>
  <c r="H40" i="2" s="1"/>
  <c r="E51" i="2"/>
  <c r="C14" i="2"/>
  <c r="E14" i="2"/>
  <c r="D14" i="2"/>
  <c r="F8" i="2"/>
  <c r="G8" i="2"/>
  <c r="H8" i="2"/>
  <c r="I8" i="2"/>
  <c r="J8" i="2"/>
  <c r="K8" i="2"/>
  <c r="D8" i="2"/>
  <c r="E8" i="2"/>
  <c r="E27" i="2" s="1"/>
  <c r="F25" i="2"/>
  <c r="G25" i="2"/>
  <c r="H25" i="2"/>
  <c r="I25" i="2"/>
  <c r="J25" i="2"/>
  <c r="K25" i="2"/>
  <c r="F21" i="2"/>
  <c r="G21" i="2"/>
  <c r="H21" i="2"/>
  <c r="I21" i="2"/>
  <c r="J21" i="2"/>
  <c r="K21" i="2"/>
  <c r="F14" i="2"/>
  <c r="G14" i="2"/>
  <c r="H14" i="2"/>
  <c r="H27" i="2" s="1"/>
  <c r="I14" i="2"/>
  <c r="J14" i="2"/>
  <c r="K14" i="2"/>
  <c r="F57" i="2"/>
  <c r="G57" i="2"/>
  <c r="H57" i="2"/>
  <c r="I57" i="2"/>
  <c r="J57" i="2"/>
  <c r="K57" i="2"/>
  <c r="F53" i="2"/>
  <c r="H53" i="2"/>
  <c r="I53" i="2"/>
  <c r="J53" i="2"/>
  <c r="F48" i="2"/>
  <c r="G48" i="2"/>
  <c r="H48" i="2"/>
  <c r="I48" i="2"/>
  <c r="J48" i="2"/>
  <c r="K48" i="2"/>
  <c r="F44" i="2"/>
  <c r="G44" i="2"/>
  <c r="H44" i="2"/>
  <c r="I44" i="2"/>
  <c r="K44" i="2"/>
  <c r="F40" i="2"/>
  <c r="G40" i="2"/>
  <c r="I40" i="2"/>
  <c r="J40" i="2"/>
  <c r="K40" i="2"/>
  <c r="E57" i="2"/>
  <c r="E53" i="2"/>
  <c r="E48" i="2"/>
  <c r="E44" i="2"/>
  <c r="E40" i="2"/>
  <c r="E59" i="2" s="1"/>
  <c r="E62" i="2" s="1"/>
  <c r="E21" i="2"/>
  <c r="E25" i="2"/>
  <c r="K53" i="2"/>
  <c r="J49" i="4" l="1"/>
  <c r="G49" i="4"/>
  <c r="K59" i="2"/>
  <c r="J27" i="2"/>
  <c r="G59" i="2"/>
  <c r="I59" i="2"/>
  <c r="F27" i="2"/>
  <c r="K27" i="2"/>
  <c r="I27" i="2"/>
  <c r="G27" i="2"/>
  <c r="F59" i="2"/>
  <c r="J59" i="2"/>
  <c r="H59" i="2"/>
  <c r="H62" i="2" s="1"/>
  <c r="D51" i="2"/>
  <c r="D53" i="2" s="1"/>
  <c r="D37" i="2"/>
  <c r="D57" i="2"/>
  <c r="C57" i="2"/>
  <c r="C53" i="2"/>
  <c r="D25" i="2"/>
  <c r="C25" i="2"/>
  <c r="K62" i="2" l="1"/>
  <c r="J62" i="2"/>
  <c r="G62" i="2"/>
  <c r="I62" i="2"/>
  <c r="F62" i="2"/>
  <c r="C48" i="2"/>
  <c r="C44" i="2"/>
  <c r="C40" i="2"/>
  <c r="C21" i="2"/>
  <c r="C27" i="2"/>
  <c r="C8" i="2"/>
  <c r="D21" i="2"/>
  <c r="D27" i="2" s="1"/>
  <c r="D48" i="2"/>
  <c r="D44" i="2"/>
  <c r="D40" i="2"/>
  <c r="C59" i="2" l="1"/>
  <c r="D59" i="2"/>
  <c r="C62" i="2"/>
  <c r="D62" i="2"/>
</calcChain>
</file>

<file path=xl/sharedStrings.xml><?xml version="1.0" encoding="utf-8"?>
<sst xmlns="http://schemas.openxmlformats.org/spreadsheetml/2006/main" count="220" uniqueCount="90">
  <si>
    <r>
      <rPr>
        <b/>
        <sz val="13"/>
        <color theme="1"/>
        <rFont val="Calibri"/>
        <family val="1"/>
      </rPr>
      <t>Totale attività</t>
    </r>
  </si>
  <si>
    <r>
      <rPr>
        <b/>
        <sz val="13"/>
        <color theme="1"/>
        <rFont val="Calibri"/>
        <family val="1"/>
      </rPr>
      <t>Saldo</t>
    </r>
  </si>
  <si>
    <t>Attivo</t>
  </si>
  <si>
    <t>Crediti verso soci per versamenti ancora dovuti</t>
  </si>
  <si>
    <t>parte richiamata</t>
  </si>
  <si>
    <t>parte da richiamare</t>
  </si>
  <si>
    <t>Totale crediti verso soci per versamenti ancora dovuti</t>
  </si>
  <si>
    <t>Immobilizzazioni</t>
  </si>
  <si>
    <t>Immobilizzazioni immateriali</t>
  </si>
  <si>
    <t>Immobilizzazioni materiali</t>
  </si>
  <si>
    <t>Immobilizzazioni finanziarie</t>
  </si>
  <si>
    <t>Totale immobilizzazioni</t>
  </si>
  <si>
    <t>Attivo circolante</t>
  </si>
  <si>
    <t>Rimanenze</t>
  </si>
  <si>
    <t>Crediti</t>
  </si>
  <si>
    <t>Attività finanziarie che non costituiscono immobilizzazioni</t>
  </si>
  <si>
    <t>Disponibilità liquide</t>
  </si>
  <si>
    <t>Ratei e risconti</t>
  </si>
  <si>
    <t>Totale ratei e risconti</t>
  </si>
  <si>
    <t>Totale attivo circolante</t>
  </si>
  <si>
    <t>Soer</t>
  </si>
  <si>
    <t>Passivo</t>
  </si>
  <si>
    <t>Patrimonio netto</t>
  </si>
  <si>
    <t>Capitale</t>
  </si>
  <si>
    <t>Riserva da soprapprezzo delle azioni</t>
  </si>
  <si>
    <t>Riserva di rivalutazione</t>
  </si>
  <si>
    <t>Riserva legale</t>
  </si>
  <si>
    <t>Riserva statutaria</t>
  </si>
  <si>
    <t>Riserva per azioni proprie in portafoglio</t>
  </si>
  <si>
    <t>Altre riserve distintamente indicate</t>
  </si>
  <si>
    <t>Utili (perdite) portati a nuovo</t>
  </si>
  <si>
    <t>Utile o (perdita) d'esercizio</t>
  </si>
  <si>
    <t>Totale patrimonio netto</t>
  </si>
  <si>
    <t>Fondi rischi e oneri</t>
  </si>
  <si>
    <t>Totale fondi rischi e oneri</t>
  </si>
  <si>
    <t>Trattamento di fine rapporto</t>
  </si>
  <si>
    <t>Totale trattamento di fine rapporto</t>
  </si>
  <si>
    <t>Debiti</t>
  </si>
  <si>
    <t>Esigibili entro l'esercizio successivo</t>
  </si>
  <si>
    <t>Esigibili oltre l'esercizio successivo</t>
  </si>
  <si>
    <t>Totale debit</t>
  </si>
  <si>
    <t xml:space="preserve">Totale passività </t>
  </si>
  <si>
    <t>Lepida spa</t>
  </si>
  <si>
    <t>Act</t>
  </si>
  <si>
    <t>Piacenza inf. Spa</t>
  </si>
  <si>
    <t>Agac inf. spa</t>
  </si>
  <si>
    <t>Agac inf. Spa</t>
  </si>
  <si>
    <t xml:space="preserve">La cremeria srl </t>
  </si>
  <si>
    <t>La cremeria srl</t>
  </si>
  <si>
    <t>Facor srl</t>
  </si>
  <si>
    <t>En.cor srl</t>
  </si>
  <si>
    <t>Iren spa</t>
  </si>
  <si>
    <t>CONTO ECONOMICO SOCIETA' PARTECIPATE ANNO 2012</t>
  </si>
  <si>
    <t>STATO PATRIMONIALE SOCIETA' PARTECIPATE ANNO 2012</t>
  </si>
  <si>
    <t>Valore della produzione</t>
  </si>
  <si>
    <t>Ricavi delle vendite</t>
  </si>
  <si>
    <t>Variazione delle rimanenze e dei prodotti finiti</t>
  </si>
  <si>
    <t>Incrementi di immobilizzazioni per lavori interni</t>
  </si>
  <si>
    <t>Altri ricavi e proventi</t>
  </si>
  <si>
    <t>Totale valore della produzione</t>
  </si>
  <si>
    <t>Costi della produzioni</t>
  </si>
  <si>
    <t>Per materie prime, sussidiarie e di consumo</t>
  </si>
  <si>
    <t>Per servizi</t>
  </si>
  <si>
    <t>Per godimento di beni di terzi</t>
  </si>
  <si>
    <t>Per il personale</t>
  </si>
  <si>
    <t>Ammortamenti e svalutazioni</t>
  </si>
  <si>
    <t>Variazione delle rimanenze di materie prime</t>
  </si>
  <si>
    <t>Accantonamenti per rischi</t>
  </si>
  <si>
    <t>Oneri diversi di gestione</t>
  </si>
  <si>
    <t>Altri accantonamenti</t>
  </si>
  <si>
    <t>Totale costi della produzione</t>
  </si>
  <si>
    <t>Differenza tra valore e costi della produzione</t>
  </si>
  <si>
    <t>Colonna1</t>
  </si>
  <si>
    <t>Proventi ed oneri finanziari</t>
  </si>
  <si>
    <t>Provendi da partecipazioni</t>
  </si>
  <si>
    <t>Altri proventi finanziari</t>
  </si>
  <si>
    <t>Interessi e altri oneri finanziari</t>
  </si>
  <si>
    <t>Utili e perdite su cambi</t>
  </si>
  <si>
    <t>Totale proventi ed oneri finanziari</t>
  </si>
  <si>
    <t>Rettifiche di valore di attività finanziarie</t>
  </si>
  <si>
    <t>Rivalutazioni</t>
  </si>
  <si>
    <t>Svalutazioni</t>
  </si>
  <si>
    <t>Totale rettifiche di valore di attività finanziarie</t>
  </si>
  <si>
    <t>Proventi ed oneri straordinari</t>
  </si>
  <si>
    <t>Proventi</t>
  </si>
  <si>
    <t>Oneri</t>
  </si>
  <si>
    <t>Totale proventi ed oneri straordinari</t>
  </si>
  <si>
    <t>Imposte e tasse</t>
  </si>
  <si>
    <t>Utile (perdita) d'eservizio</t>
  </si>
  <si>
    <t>Risultato prima delle imposte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</si>
</sst>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\ ;\(#,##0.0\)"/>
    <numFmt numFmtId="167" formatCode="&quot;$&quot;#,##0\ ;\(&quot;$&quot;#,##0.0\)"/>
    <numFmt numFmtId="168" formatCode="_([$$-409]* #,##0.00_);_([$$-409]* \(#,##0.00\);_([$$-409]* &quot;-&quot;??_);_(@_)"/>
  </numFmts>
  <fonts count="19" x14ac:knownFonts="1">
    <font>
      <sz val="10"/>
      <color theme="1"/>
      <name val="Calibri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1"/>
    </font>
    <font>
      <b/>
      <sz val="11"/>
      <color theme="1"/>
      <name val="Calibri"/>
      <family val="1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2" xfId="2" applyFont="1" applyAlignment="1">
      <alignment horizontal="center"/>
    </xf>
    <xf numFmtId="0" fontId="4" fillId="0" borderId="2" xfId="2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166" fontId="5" fillId="0" borderId="0" xfId="0" applyNumberFormat="1" applyFont="1" applyBorder="1"/>
    <xf numFmtId="166" fontId="6" fillId="0" borderId="0" xfId="0" applyNumberFormat="1" applyFont="1" applyBorder="1"/>
    <xf numFmtId="0" fontId="3" fillId="0" borderId="2" xfId="2" applyFont="1" applyAlignment="1">
      <alignment wrapText="1"/>
    </xf>
    <xf numFmtId="0" fontId="3" fillId="0" borderId="3" xfId="2" applyFont="1" applyBorder="1" applyAlignment="1"/>
    <xf numFmtId="0" fontId="4" fillId="0" borderId="3" xfId="2" applyNumberFormat="1" applyFont="1" applyBorder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/>
    <xf numFmtId="168" fontId="5" fillId="0" borderId="0" xfId="1" applyNumberFormat="1" applyFont="1" applyBorder="1"/>
    <xf numFmtId="168" fontId="6" fillId="0" borderId="0" xfId="1" applyNumberFormat="1" applyFont="1" applyBorder="1"/>
    <xf numFmtId="0" fontId="5" fillId="0" borderId="0" xfId="0" applyFont="1" applyBorder="1"/>
    <xf numFmtId="167" fontId="5" fillId="0" borderId="0" xfId="0" applyNumberFormat="1" applyFont="1" applyBorder="1"/>
    <xf numFmtId="167" fontId="6" fillId="0" borderId="0" xfId="0" applyNumberFormat="1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0" xfId="0" applyNumberFormat="1" applyFont="1" applyBorder="1"/>
    <xf numFmtId="165" fontId="8" fillId="2" borderId="0" xfId="3" applyNumberFormat="1"/>
    <xf numFmtId="165" fontId="8" fillId="3" borderId="0" xfId="4" applyNumberFormat="1"/>
    <xf numFmtId="0" fontId="7" fillId="4" borderId="0" xfId="3" applyNumberFormat="1" applyFont="1" applyFill="1" applyAlignment="1">
      <alignment horizontal="center"/>
    </xf>
    <xf numFmtId="0" fontId="13" fillId="4" borderId="1" xfId="0" applyFont="1" applyFill="1" applyBorder="1" applyAlignment="1">
      <alignment wrapText="1"/>
    </xf>
    <xf numFmtId="165" fontId="13" fillId="4" borderId="1" xfId="0" applyNumberFormat="1" applyFont="1" applyFill="1" applyBorder="1"/>
    <xf numFmtId="0" fontId="13" fillId="5" borderId="1" xfId="0" applyFont="1" applyFill="1" applyBorder="1" applyAlignment="1">
      <alignment wrapText="1"/>
    </xf>
    <xf numFmtId="165" fontId="13" fillId="5" borderId="1" xfId="0" applyNumberFormat="1" applyFont="1" applyFill="1" applyBorder="1"/>
    <xf numFmtId="0" fontId="10" fillId="0" borderId="0" xfId="0" applyFont="1" applyAlignment="1">
      <alignment wrapText="1"/>
    </xf>
    <xf numFmtId="0" fontId="11" fillId="4" borderId="0" xfId="3" applyFont="1" applyFill="1" applyAlignment="1">
      <alignment wrapText="1"/>
    </xf>
    <xf numFmtId="0" fontId="12" fillId="2" borderId="0" xfId="3" applyFont="1" applyAlignment="1">
      <alignment wrapText="1"/>
    </xf>
    <xf numFmtId="0" fontId="13" fillId="0" borderId="0" xfId="0" applyFont="1" applyFill="1" applyBorder="1" applyAlignment="1">
      <alignment wrapText="1"/>
    </xf>
    <xf numFmtId="165" fontId="13" fillId="0" borderId="0" xfId="0" applyNumberFormat="1" applyFont="1" applyFill="1" applyBorder="1"/>
    <xf numFmtId="0" fontId="11" fillId="5" borderId="0" xfId="4" applyFont="1" applyFill="1" applyAlignment="1">
      <alignment wrapText="1"/>
    </xf>
    <xf numFmtId="0" fontId="12" fillId="3" borderId="0" xfId="4" applyFont="1" applyAlignment="1">
      <alignment wrapText="1"/>
    </xf>
    <xf numFmtId="0" fontId="9" fillId="0" borderId="3" xfId="2" applyFont="1" applyBorder="1" applyAlignment="1">
      <alignment horizontal="left" wrapText="1"/>
    </xf>
    <xf numFmtId="0" fontId="11" fillId="5" borderId="0" xfId="4" applyNumberFormat="1" applyFont="1" applyFill="1" applyAlignment="1">
      <alignment horizontal="center"/>
    </xf>
    <xf numFmtId="0" fontId="15" fillId="4" borderId="4" xfId="3" applyNumberFormat="1" applyFont="1" applyFill="1" applyBorder="1" applyAlignment="1">
      <alignment horizontal="center"/>
    </xf>
    <xf numFmtId="165" fontId="8" fillId="2" borderId="5" xfId="3" applyNumberFormat="1" applyFont="1" applyFill="1" applyBorder="1"/>
    <xf numFmtId="0" fontId="14" fillId="5" borderId="4" xfId="4" applyNumberFormat="1" applyFont="1" applyFill="1" applyBorder="1" applyAlignment="1">
      <alignment horizontal="center"/>
    </xf>
    <xf numFmtId="165" fontId="8" fillId="3" borderId="5" xfId="4" applyNumberFormat="1" applyFont="1" applyFill="1" applyBorder="1"/>
    <xf numFmtId="165" fontId="15" fillId="4" borderId="6" xfId="0" applyNumberFormat="1" applyFont="1" applyFill="1" applyBorder="1"/>
    <xf numFmtId="165" fontId="15" fillId="5" borderId="6" xfId="0" applyNumberFormat="1" applyFont="1" applyFill="1" applyBorder="1"/>
    <xf numFmtId="0" fontId="7" fillId="5" borderId="1" xfId="0" applyFont="1" applyFill="1" applyBorder="1" applyAlignment="1">
      <alignment wrapText="1"/>
    </xf>
    <xf numFmtId="165" fontId="7" fillId="5" borderId="1" xfId="0" applyNumberFormat="1" applyFont="1" applyFill="1" applyBorder="1"/>
    <xf numFmtId="165" fontId="8" fillId="3" borderId="7" xfId="4" applyNumberFormat="1" applyFont="1" applyFill="1" applyBorder="1"/>
    <xf numFmtId="0" fontId="0" fillId="0" borderId="0" xfId="0" applyProtection="1">
      <protection locked="0"/>
    </xf>
    <xf numFmtId="165" fontId="13" fillId="5" borderId="1" xfId="0" applyNumberFormat="1" applyFont="1" applyFill="1" applyBorder="1" applyProtection="1">
      <protection locked="0"/>
    </xf>
    <xf numFmtId="0" fontId="12" fillId="3" borderId="0" xfId="4" applyFont="1" applyAlignment="1" applyProtection="1">
      <alignment wrapText="1"/>
      <protection locked="0"/>
    </xf>
    <xf numFmtId="165" fontId="8" fillId="3" borderId="0" xfId="4" applyNumberFormat="1" applyProtection="1">
      <protection locked="0"/>
    </xf>
    <xf numFmtId="165" fontId="8" fillId="3" borderId="5" xfId="4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wrapText="1"/>
      <protection locked="0"/>
    </xf>
    <xf numFmtId="165" fontId="7" fillId="5" borderId="1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wrapText="1"/>
    </xf>
    <xf numFmtId="165" fontId="7" fillId="0" borderId="0" xfId="0" applyNumberFormat="1" applyFont="1" applyFill="1" applyBorder="1"/>
    <xf numFmtId="165" fontId="15" fillId="0" borderId="0" xfId="0" applyNumberFormat="1" applyFont="1" applyFill="1" applyBorder="1"/>
    <xf numFmtId="0" fontId="15" fillId="5" borderId="1" xfId="0" applyFont="1" applyFill="1" applyBorder="1" applyAlignment="1">
      <alignment wrapText="1"/>
    </xf>
    <xf numFmtId="165" fontId="15" fillId="5" borderId="1" xfId="0" applyNumberFormat="1" applyFont="1" applyFill="1" applyBorder="1"/>
    <xf numFmtId="0" fontId="18" fillId="0" borderId="0" xfId="5" applyFont="1" applyAlignment="1">
      <alignment horizontal="center"/>
    </xf>
    <xf numFmtId="0" fontId="18" fillId="0" borderId="2" xfId="5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</cellXfs>
  <cellStyles count="6">
    <cellStyle name="Collegamento ipertestuale" xfId="5" builtinId="8"/>
    <cellStyle name="Enfasi 1" xfId="3" builtinId="12" customBuiltin="1"/>
    <cellStyle name="Enfasi 2" xfId="4" builtinId="13" customBuiltin="1"/>
    <cellStyle name="Normale" xfId="0" builtinId="0" customBuiltin="1"/>
    <cellStyle name="Titolo 2" xfId="2" builtinId="17"/>
    <cellStyle name="Valuta" xfId="1" builtinId="4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numFmt numFmtId="165" formatCode="_(* #,##0.00_);_(* \(#,##0.00\);_(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numFmt numFmtId="165" formatCode="_(* #,##0.00_);_(* \(#,##0.00\);_(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color indexed="10"/>
      </font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fixedassets" displayName="fixedassets" ref="B10:D14" totalsRowCount="1" headerRowDxfId="108" totalsRowDxfId="107">
  <tableColumns count="3">
    <tableColumn id="1" name="Immobilizzazioni" totalsRowLabel="Totale immobilizzazioni" dataDxfId="106" totalsRowDxfId="105"/>
    <tableColumn id="2" name="Soer" totalsRowFunction="sum" dataDxfId="104" totalsRowDxfId="103"/>
    <tableColumn id="3" name="Lepida spa" totalsRowFunction="sum" dataDxfId="102" totalsRowDxfId="101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2" name="currentliabilities13" displayName="currentliabilities13" ref="B5:D10" totalsRowCount="1" headerRowDxfId="47" totalsRowDxfId="46">
  <tableColumns count="3">
    <tableColumn id="1" name="Valore della produzione" totalsRowLabel="Totale valore della produzione" dataDxfId="45" totalsRowDxfId="44"/>
    <tableColumn id="2" name="Soer" totalsRowFunction="sum" dataDxfId="43" totalsRowDxfId="42"/>
    <tableColumn id="3" name="Lepida spa" totalsRowFunction="sum" dataDxfId="41" totalsRowDxfId="40"/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id="13" name="longtermliabilities14" displayName="longtermliabilities14" ref="B12:D22" totalsRowCount="1" headerRowDxfId="39" totalsRowDxfId="38">
  <tableColumns count="3">
    <tableColumn id="1" name="Costi della produzioni" totalsRowLabel="Totale costi della produzione" dataDxfId="37" totalsRowDxfId="36"/>
    <tableColumn id="2" name="Soer" totalsRowFunction="sum" dataDxfId="35" totalsRowDxfId="34"/>
    <tableColumn id="3" name="Lepida spa" totalsRowFunction="sum" dataDxfId="33" totalsRowDxfId="32"/>
  </tableColumns>
  <tableStyleInfo name="TableStyleMedium10" showFirstColumn="0" showLastColumn="0" showRowStripes="1" showColumnStripes="0"/>
</table>
</file>

<file path=xl/tables/table12.xml><?xml version="1.0" encoding="utf-8"?>
<table xmlns="http://schemas.openxmlformats.org/spreadsheetml/2006/main" id="14" name="ownersequity15" displayName="ownersequity15" ref="B24:D26" insertRow="1" totalsRowCount="1" headerRowDxfId="31" totalsRowDxfId="30">
  <tableColumns count="3">
    <tableColumn id="1" name="Colonna1" totalsRowLabel="Differenza tra valore e costi della produzione" dataDxfId="29" totalsRowDxfId="28"/>
    <tableColumn id="2" name="Soer" totalsRowFunction="custom" dataDxfId="27" totalsRowDxfId="26">
      <totalsRowFormula>currentliabilities13[[#Totals],[Soer]]-longtermliabilities14[[#Totals],[Soer]]</totalsRowFormula>
    </tableColumn>
    <tableColumn id="3" name="Lepida spa" totalsRowFunction="custom" dataDxfId="25" totalsRowDxfId="24">
      <totalsRowFormula>currentliabilities13[[#Totals],[Lepida spa]]-longtermliabilities14[[#Totals],[Lepida spa]]</totalsRowFormula>
    </tableColumn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17" name="ownersequity918" displayName="ownersequity918" ref="B28:D33" totalsRowCount="1" headerRowDxfId="23" totalsRowDxfId="22">
  <tableColumns count="3">
    <tableColumn id="1" name="Proventi ed oneri finanziari" totalsRowLabel="Totale proventi ed oneri finanziari" dataDxfId="21" totalsRowDxfId="20"/>
    <tableColumn id="2" name="Soer" totalsRowFunction="custom" dataDxfId="19" totalsRowDxfId="18">
      <totalsRowFormula>C29+C30-C31-C32</totalsRowFormula>
    </tableColumn>
    <tableColumn id="3" name="Lepida spa" totalsRowFunction="custom" dataDxfId="17" totalsRowDxfId="16">
      <totalsRowFormula>D29+D30-D31-D32</totalsRowFormula>
    </tableColumn>
  </tableColumns>
  <tableStyleInfo name="TableStyleMedium10" showFirstColumn="0" showLastColumn="0" showRowStripes="1" showColumnStripes="0"/>
</table>
</file>

<file path=xl/tables/table14.xml><?xml version="1.0" encoding="utf-8"?>
<table xmlns="http://schemas.openxmlformats.org/spreadsheetml/2006/main" id="18" name="ownersequity1019" displayName="ownersequity1019" ref="B35:D38" totalsRowCount="1" headerRowDxfId="15" totalsRowDxfId="14">
  <tableColumns count="3">
    <tableColumn id="1" name="Rettifiche di valore di attività finanziarie" totalsRowLabel="Totale rettifiche di valore di attività finanziarie" dataDxfId="13" totalsRowDxfId="12"/>
    <tableColumn id="2" name="Soer" totalsRowFunction="sum" dataDxfId="11" totalsRowDxfId="10"/>
    <tableColumn id="3" name="Lepida spa" totalsRowFunction="sum" dataDxfId="9" totalsRowDxfId="8"/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id="25" name="ownersequity101926" displayName="ownersequity101926" ref="B40:D43" totalsRowCount="1" headerRowDxfId="7" totalsRowDxfId="6">
  <tableColumns count="3">
    <tableColumn id="1" name="Proventi ed oneri straordinari" totalsRowLabel="Totale proventi ed oneri straordinari" dataDxfId="5" totalsRowDxfId="4"/>
    <tableColumn id="2" name="Soer" totalsRowFunction="custom" dataDxfId="3" totalsRowDxfId="2">
      <totalsRowFormula>C41-C42</totalsRowFormula>
    </tableColumn>
    <tableColumn id="3" name="Lepida spa" totalsRowFunction="custom" dataDxfId="1" totalsRowDxfId="0">
      <totalsRowFormula>D41-D42</totalsRow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1" name="otherassets" displayName="otherassets" ref="B16:D21" totalsRowCount="1" headerRowDxfId="100" totalsRowDxfId="99">
  <tableColumns count="3">
    <tableColumn id="1" name="Attivo circolante" totalsRowLabel="Totale attivo circolante" dataDxfId="98" totalsRowDxfId="97"/>
    <tableColumn id="2" name="Soer" totalsRowFunction="sum" dataDxfId="96" totalsRowDxfId="95"/>
    <tableColumn id="3" name="Lepida spa" totalsRowFunction="sum" dataDxfId="94" totalsRowDxfId="9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currentliabilities" displayName="currentliabilities" ref="B30:D40" totalsRowCount="1" headerRowDxfId="92" totalsRowDxfId="91">
  <tableColumns count="3">
    <tableColumn id="1" name="Patrimonio netto" totalsRowLabel="Totale patrimonio netto" dataDxfId="90"/>
    <tableColumn id="2" name="Soer" totalsRowFunction="sum" dataDxfId="89"/>
    <tableColumn id="3" name="Lepida spa" totalsRowFunction="sum" dataDxfId="88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5" name="longtermliabilities" displayName="longtermliabilities" ref="B42:D44" totalsRowCount="1" headerRowDxfId="87" totalsRowDxfId="86">
  <tableColumns count="3">
    <tableColumn id="1" name="Fondi rischi e oneri" totalsRowLabel="Totale fondi rischi e oneri" dataDxfId="85"/>
    <tableColumn id="2" name="Soer" totalsRowFunction="sum" dataDxfId="84"/>
    <tableColumn id="3" name="Lepida spa" totalsRowFunction="sum" dataDxfId="83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6" name="ownersequity" displayName="ownersequity" ref="B46:D48" totalsRowCount="1" headerRowDxfId="82" totalsRowDxfId="81">
  <tableColumns count="3">
    <tableColumn id="1" name="Trattamento di fine rapporto" totalsRowLabel="Totale trattamento di fine rapporto" dataDxfId="80"/>
    <tableColumn id="2" name="Soer" totalsRowFunction="sum" dataDxfId="79"/>
    <tableColumn id="3" name="Lepida spa" totalsRowFunction="sum" dataDxfId="78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2" name="currentassets" displayName="currentassets" ref="B5:D8" totalsRowCount="1" headerRowDxfId="77" totalsRowDxfId="76">
  <tableColumns count="3">
    <tableColumn id="1" name="Crediti verso soci per versamenti ancora dovuti" totalsRowLabel="Totale crediti verso soci per versamenti ancora dovuti" dataDxfId="75" totalsRowDxfId="74"/>
    <tableColumn id="2" name="Soer" totalsRowFunction="sum" dataDxfId="73" totalsRowDxfId="72"/>
    <tableColumn id="3" name="Lepida spa" totalsRowFunction="sum" dataDxfId="71" totalsRowDxfId="7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otherassets8" displayName="otherassets8" ref="B23:D25" totalsRowCount="1" headerRowDxfId="69" totalsRowDxfId="68">
  <tableColumns count="3">
    <tableColumn id="1" name="Ratei e risconti" totalsRowLabel="Totale ratei e risconti" dataDxfId="67" totalsRowDxfId="66"/>
    <tableColumn id="2" name="Soer" totalsRowFunction="sum" dataDxfId="65" totalsRowDxfId="64"/>
    <tableColumn id="3" name="Lepida spa" totalsRowFunction="sum" dataDxfId="63" totalsRowDxfId="6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ownersequity9" displayName="ownersequity9" ref="B50:D53" totalsRowCount="1" headerRowDxfId="61" totalsRowDxfId="60">
  <tableColumns count="3">
    <tableColumn id="1" name="Debiti" totalsRowLabel="Totale debit" dataDxfId="59" totalsRowDxfId="58"/>
    <tableColumn id="2" name="Soer" totalsRowFunction="sum" dataDxfId="57" totalsRowDxfId="56"/>
    <tableColumn id="3" name="Lepida spa" totalsRowFunction="sum" dataDxfId="55" totalsRowDxfId="54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9" name="ownersequity10" displayName="ownersequity10" ref="B55:D57" totalsRowCount="1" headerRowDxfId="53" totalsRowDxfId="52">
  <tableColumns count="3">
    <tableColumn id="1" name="Ratei e risconti" totalsRowLabel="Totale ratei e risconti" dataDxfId="51"/>
    <tableColumn id="2" name="Soer" totalsRowFunction="sum" dataDxfId="50"/>
    <tableColumn id="3" name="Lepida spa" totalsRowFunction="sum" dataDxfId="49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Dati%20partecipate%20per%20sito%20PERLAPA%202012.xls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2"/>
  <sheetViews>
    <sheetView showGridLines="0" tabSelected="1" zoomScaleSheetLayoutView="100" workbookViewId="0">
      <selection activeCell="K52" sqref="K52"/>
    </sheetView>
  </sheetViews>
  <sheetFormatPr defaultRowHeight="12.75" x14ac:dyDescent="0.2"/>
  <cols>
    <col min="1" max="1" width="2.85546875" customWidth="1"/>
    <col min="2" max="2" width="46.7109375" style="19" customWidth="1"/>
    <col min="3" max="4" width="17.5703125" style="19" customWidth="1"/>
    <col min="5" max="6" width="17.85546875" bestFit="1" customWidth="1"/>
    <col min="7" max="7" width="19.140625" bestFit="1" customWidth="1"/>
    <col min="8" max="10" width="17.85546875" bestFit="1" customWidth="1"/>
    <col min="11" max="11" width="21.140625" bestFit="1" customWidth="1"/>
  </cols>
  <sheetData>
    <row r="1" spans="2:11" x14ac:dyDescent="0.2">
      <c r="B1" s="61" t="s">
        <v>53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3.5" thickBo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11" ht="18.75" customHeight="1" thickTop="1" thickBot="1" x14ac:dyDescent="0.3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.75" thickTop="1" x14ac:dyDescent="0.25">
      <c r="B4" s="31" t="s">
        <v>2</v>
      </c>
      <c r="C4" s="3"/>
      <c r="D4" s="4"/>
    </row>
    <row r="5" spans="2:11" ht="13.5" thickBot="1" x14ac:dyDescent="0.25">
      <c r="B5" s="32" t="s">
        <v>3</v>
      </c>
      <c r="C5" s="26" t="s">
        <v>20</v>
      </c>
      <c r="D5" s="26" t="s">
        <v>42</v>
      </c>
      <c r="E5" s="40" t="s">
        <v>43</v>
      </c>
      <c r="F5" s="40" t="s">
        <v>44</v>
      </c>
      <c r="G5" s="40" t="s">
        <v>45</v>
      </c>
      <c r="H5" s="40" t="s">
        <v>47</v>
      </c>
      <c r="I5" s="40" t="s">
        <v>49</v>
      </c>
      <c r="J5" s="40" t="s">
        <v>50</v>
      </c>
      <c r="K5" s="40" t="s">
        <v>51</v>
      </c>
    </row>
    <row r="6" spans="2:11" ht="13.5" thickTop="1" x14ac:dyDescent="0.2">
      <c r="B6" s="33" t="s">
        <v>4</v>
      </c>
      <c r="C6" s="24">
        <v>0</v>
      </c>
      <c r="D6" s="24">
        <v>0</v>
      </c>
      <c r="E6" s="24">
        <v>9242808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</row>
    <row r="7" spans="2:11" ht="13.5" thickBot="1" x14ac:dyDescent="0.25">
      <c r="B7" s="33" t="s">
        <v>5</v>
      </c>
      <c r="C7" s="24">
        <v>0</v>
      </c>
      <c r="D7" s="24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</row>
    <row r="8" spans="2:11" ht="13.5" thickTop="1" x14ac:dyDescent="0.2">
      <c r="B8" s="27" t="s">
        <v>6</v>
      </c>
      <c r="C8" s="28">
        <f>SUBTOTAL(109,currentassets[Soer])</f>
        <v>0</v>
      </c>
      <c r="D8" s="28">
        <f>SUBTOTAL(109,currentassets[Lepida spa])</f>
        <v>0</v>
      </c>
      <c r="E8" s="44">
        <f>SUM(E6:E7)</f>
        <v>9242808</v>
      </c>
      <c r="F8" s="44">
        <f t="shared" ref="F8:K8" si="0">SUM(F6:F7)</f>
        <v>0</v>
      </c>
      <c r="G8" s="44">
        <f t="shared" si="0"/>
        <v>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</row>
    <row r="9" spans="2:11" x14ac:dyDescent="0.2">
      <c r="B9"/>
      <c r="C9"/>
      <c r="D9"/>
    </row>
    <row r="10" spans="2:11" ht="13.5" thickBot="1" x14ac:dyDescent="0.25">
      <c r="B10" s="32" t="s">
        <v>7</v>
      </c>
      <c r="C10" s="26" t="s">
        <v>20</v>
      </c>
      <c r="D10" s="26" t="s">
        <v>42</v>
      </c>
      <c r="E10" s="40" t="s">
        <v>43</v>
      </c>
      <c r="F10" s="40" t="s">
        <v>44</v>
      </c>
      <c r="G10" s="40" t="s">
        <v>45</v>
      </c>
      <c r="H10" s="40" t="s">
        <v>47</v>
      </c>
      <c r="I10" s="40" t="s">
        <v>49</v>
      </c>
      <c r="J10" s="40" t="s">
        <v>50</v>
      </c>
      <c r="K10" s="40" t="s">
        <v>51</v>
      </c>
    </row>
    <row r="11" spans="2:11" ht="13.5" thickTop="1" x14ac:dyDescent="0.2">
      <c r="B11" s="33" t="s">
        <v>8</v>
      </c>
      <c r="C11" s="24">
        <v>1329737</v>
      </c>
      <c r="D11" s="24">
        <v>1158353</v>
      </c>
      <c r="E11" s="24">
        <v>128849</v>
      </c>
      <c r="F11" s="24">
        <v>3597718</v>
      </c>
      <c r="G11" s="24">
        <v>10945580</v>
      </c>
      <c r="H11" s="24">
        <v>426399</v>
      </c>
      <c r="I11" s="24">
        <v>7264</v>
      </c>
      <c r="J11" s="24">
        <v>2563</v>
      </c>
      <c r="K11" s="24">
        <f>1295022000+1831000+132861000+7739000</f>
        <v>1437453000</v>
      </c>
    </row>
    <row r="12" spans="2:11" x14ac:dyDescent="0.2">
      <c r="B12" s="33" t="s">
        <v>9</v>
      </c>
      <c r="C12" s="24">
        <v>0</v>
      </c>
      <c r="D12" s="24">
        <v>12739014</v>
      </c>
      <c r="E12" s="41">
        <v>8035066</v>
      </c>
      <c r="F12" s="41">
        <v>28257022</v>
      </c>
      <c r="G12" s="41">
        <v>178026095</v>
      </c>
      <c r="H12" s="41">
        <v>17616</v>
      </c>
      <c r="I12" s="41">
        <v>39665</v>
      </c>
      <c r="J12" s="41">
        <v>30075017</v>
      </c>
      <c r="K12" s="41">
        <v>2813297000</v>
      </c>
    </row>
    <row r="13" spans="2:11" ht="13.5" thickBot="1" x14ac:dyDescent="0.25">
      <c r="B13" s="33" t="s">
        <v>10</v>
      </c>
      <c r="C13" s="24">
        <v>0</v>
      </c>
      <c r="D13" s="24">
        <v>0</v>
      </c>
      <c r="E13" s="24">
        <v>8376790</v>
      </c>
      <c r="F13" s="24">
        <v>0</v>
      </c>
      <c r="G13" s="24">
        <v>0</v>
      </c>
      <c r="H13" s="24">
        <v>0</v>
      </c>
      <c r="I13" s="24">
        <v>300393</v>
      </c>
      <c r="J13" s="24">
        <v>750809</v>
      </c>
      <c r="K13" s="24">
        <f>462097000+29808000+116168000+38195000+215750000</f>
        <v>862018000</v>
      </c>
    </row>
    <row r="14" spans="2:11" ht="13.5" thickTop="1" x14ac:dyDescent="0.2">
      <c r="B14" s="27" t="s">
        <v>11</v>
      </c>
      <c r="C14" s="28">
        <f>SUBTOTAL(109,fixedassets[Soer])</f>
        <v>1329737</v>
      </c>
      <c r="D14" s="28">
        <f>SUBTOTAL(109,fixedassets[Lepida spa])</f>
        <v>13897367</v>
      </c>
      <c r="E14" s="44">
        <f>SUM(E11:E13)</f>
        <v>16540705</v>
      </c>
      <c r="F14" s="44">
        <f t="shared" ref="F14:K14" si="1">SUM(F11:F13)</f>
        <v>31854740</v>
      </c>
      <c r="G14" s="44">
        <f t="shared" si="1"/>
        <v>188971675</v>
      </c>
      <c r="H14" s="44">
        <f t="shared" si="1"/>
        <v>444015</v>
      </c>
      <c r="I14" s="44">
        <f t="shared" si="1"/>
        <v>347322</v>
      </c>
      <c r="J14" s="44">
        <f t="shared" si="1"/>
        <v>30828389</v>
      </c>
      <c r="K14" s="44">
        <f t="shared" si="1"/>
        <v>5112768000</v>
      </c>
    </row>
    <row r="15" spans="2:11" x14ac:dyDescent="0.2">
      <c r="B15"/>
      <c r="C15"/>
      <c r="D15"/>
    </row>
    <row r="16" spans="2:11" ht="13.5" thickBot="1" x14ac:dyDescent="0.25">
      <c r="B16" s="32" t="s">
        <v>12</v>
      </c>
      <c r="C16" s="26" t="s">
        <v>20</v>
      </c>
      <c r="D16" s="26" t="s">
        <v>42</v>
      </c>
      <c r="E16" s="40" t="s">
        <v>43</v>
      </c>
      <c r="F16" s="40" t="s">
        <v>44</v>
      </c>
      <c r="G16" s="40" t="s">
        <v>45</v>
      </c>
      <c r="H16" s="40" t="s">
        <v>47</v>
      </c>
      <c r="I16" s="40" t="s">
        <v>49</v>
      </c>
      <c r="J16" s="40" t="s">
        <v>50</v>
      </c>
      <c r="K16" s="40" t="s">
        <v>51</v>
      </c>
    </row>
    <row r="17" spans="2:11" ht="13.5" thickTop="1" x14ac:dyDescent="0.2">
      <c r="B17" s="33" t="s">
        <v>13</v>
      </c>
      <c r="C17" s="24">
        <v>0</v>
      </c>
      <c r="D17" s="24">
        <v>69368</v>
      </c>
      <c r="E17" s="41">
        <v>0</v>
      </c>
      <c r="F17" s="41">
        <v>0</v>
      </c>
      <c r="G17" s="41">
        <v>0</v>
      </c>
      <c r="H17" s="41">
        <v>313307</v>
      </c>
      <c r="I17" s="41">
        <v>269327</v>
      </c>
      <c r="J17" s="41">
        <v>222245</v>
      </c>
      <c r="K17" s="41">
        <v>89110000</v>
      </c>
    </row>
    <row r="18" spans="2:11" x14ac:dyDescent="0.2">
      <c r="B18" s="33" t="s">
        <v>14</v>
      </c>
      <c r="C18" s="24">
        <v>2161</v>
      </c>
      <c r="D18" s="24">
        <v>11517250</v>
      </c>
      <c r="E18" s="41">
        <v>11048210</v>
      </c>
      <c r="F18" s="41">
        <v>699513</v>
      </c>
      <c r="G18" s="41">
        <v>1335306</v>
      </c>
      <c r="H18" s="41">
        <v>204201</v>
      </c>
      <c r="I18" s="41">
        <v>154923</v>
      </c>
      <c r="J18" s="41">
        <v>4140816</v>
      </c>
      <c r="K18" s="41">
        <f>1253713000+8690000+267253000</f>
        <v>1529656000</v>
      </c>
    </row>
    <row r="19" spans="2:11" ht="25.5" x14ac:dyDescent="0.2">
      <c r="B19" s="33" t="s">
        <v>15</v>
      </c>
      <c r="C19" s="24">
        <v>0</v>
      </c>
      <c r="D19" s="24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273550000</v>
      </c>
    </row>
    <row r="20" spans="2:11" ht="13.5" thickBot="1" x14ac:dyDescent="0.25">
      <c r="B20" s="33" t="s">
        <v>16</v>
      </c>
      <c r="C20" s="24">
        <v>14076</v>
      </c>
      <c r="D20" s="24">
        <v>5341802</v>
      </c>
      <c r="E20" s="41">
        <v>44526</v>
      </c>
      <c r="F20" s="41">
        <v>367846</v>
      </c>
      <c r="G20" s="41">
        <v>462824</v>
      </c>
      <c r="H20" s="41">
        <v>65335</v>
      </c>
      <c r="I20" s="41">
        <v>223208</v>
      </c>
      <c r="J20" s="41">
        <v>234362</v>
      </c>
      <c r="K20" s="41">
        <v>28041000</v>
      </c>
    </row>
    <row r="21" spans="2:11" ht="13.5" thickTop="1" x14ac:dyDescent="0.2">
      <c r="B21" s="27" t="s">
        <v>19</v>
      </c>
      <c r="C21" s="28">
        <f>SUBTOTAL(109,otherassets[Soer])</f>
        <v>16237</v>
      </c>
      <c r="D21" s="28">
        <f>SUBTOTAL(109,otherassets[Lepida spa])</f>
        <v>16928420</v>
      </c>
      <c r="E21" s="44">
        <f>SUM(E17:E20)</f>
        <v>11092736</v>
      </c>
      <c r="F21" s="44">
        <f t="shared" ref="F21:K21" si="2">SUM(F17:F20)</f>
        <v>1067359</v>
      </c>
      <c r="G21" s="44">
        <f t="shared" si="2"/>
        <v>1798130</v>
      </c>
      <c r="H21" s="44">
        <f t="shared" si="2"/>
        <v>582843</v>
      </c>
      <c r="I21" s="44">
        <f t="shared" si="2"/>
        <v>647458</v>
      </c>
      <c r="J21" s="44">
        <f t="shared" si="2"/>
        <v>4597423</v>
      </c>
      <c r="K21" s="44">
        <f t="shared" si="2"/>
        <v>1920357000</v>
      </c>
    </row>
    <row r="22" spans="2:11" x14ac:dyDescent="0.2">
      <c r="B22" s="34"/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13.5" thickBot="1" x14ac:dyDescent="0.25">
      <c r="B23" s="32" t="s">
        <v>17</v>
      </c>
      <c r="C23" s="26" t="s">
        <v>20</v>
      </c>
      <c r="D23" s="26" t="s">
        <v>42</v>
      </c>
      <c r="E23" s="40" t="s">
        <v>43</v>
      </c>
      <c r="F23" s="40" t="s">
        <v>44</v>
      </c>
      <c r="G23" s="40" t="s">
        <v>45</v>
      </c>
      <c r="H23" s="40" t="s">
        <v>47</v>
      </c>
      <c r="I23" s="40" t="s">
        <v>49</v>
      </c>
      <c r="J23" s="40" t="s">
        <v>50</v>
      </c>
      <c r="K23" s="40" t="s">
        <v>51</v>
      </c>
    </row>
    <row r="24" spans="2:11" ht="14.25" thickTop="1" thickBot="1" x14ac:dyDescent="0.25">
      <c r="B24" s="33" t="s">
        <v>17</v>
      </c>
      <c r="C24" s="24">
        <v>24</v>
      </c>
      <c r="D24" s="24">
        <v>21829</v>
      </c>
      <c r="E24" s="41">
        <v>106937</v>
      </c>
      <c r="F24" s="41">
        <v>976</v>
      </c>
      <c r="G24" s="41">
        <v>8152</v>
      </c>
      <c r="H24" s="41">
        <v>4584</v>
      </c>
      <c r="I24" s="41">
        <v>3159</v>
      </c>
      <c r="J24" s="41">
        <v>204848</v>
      </c>
      <c r="K24" s="41"/>
    </row>
    <row r="25" spans="2:11" ht="13.5" thickTop="1" x14ac:dyDescent="0.2">
      <c r="B25" s="27" t="s">
        <v>18</v>
      </c>
      <c r="C25" s="28">
        <f>SUBTOTAL(109,otherassets8[Soer])</f>
        <v>24</v>
      </c>
      <c r="D25" s="28">
        <f>SUBTOTAL(109,otherassets8[Lepida spa])</f>
        <v>21829</v>
      </c>
      <c r="E25" s="44">
        <f>SUM(E24)</f>
        <v>106937</v>
      </c>
      <c r="F25" s="44">
        <f t="shared" ref="F25:K25" si="3">SUM(F24)</f>
        <v>976</v>
      </c>
      <c r="G25" s="44">
        <f t="shared" si="3"/>
        <v>8152</v>
      </c>
      <c r="H25" s="44">
        <f t="shared" si="3"/>
        <v>4584</v>
      </c>
      <c r="I25" s="44">
        <f t="shared" si="3"/>
        <v>3159</v>
      </c>
      <c r="J25" s="44">
        <f t="shared" si="3"/>
        <v>204848</v>
      </c>
      <c r="K25" s="44">
        <f t="shared" si="3"/>
        <v>0</v>
      </c>
    </row>
    <row r="26" spans="2:11" x14ac:dyDescent="0.2">
      <c r="B26" s="6"/>
      <c r="C26" s="7"/>
      <c r="D26" s="8"/>
      <c r="E26" s="8"/>
      <c r="F26" s="8"/>
      <c r="G26" s="8"/>
      <c r="H26" s="8"/>
      <c r="I26" s="8"/>
      <c r="J26" s="8"/>
      <c r="K26" s="8"/>
    </row>
    <row r="27" spans="2:11" ht="18" thickBot="1" x14ac:dyDescent="0.35">
      <c r="B27" s="9" t="s">
        <v>0</v>
      </c>
      <c r="C27" s="21">
        <f>currentassets[[#Totals],[Soer]]+fixedassets[[#Totals],[Soer]]+otherassets[[#Totals],[Soer]]+otherassets8[[#Totals],[Soer]]</f>
        <v>1345998</v>
      </c>
      <c r="D27" s="21">
        <f>currentassets[[#Totals],[Lepida spa]]+fixedassets[[#Totals],[Lepida spa]]+otherassets[[#Totals],[Lepida spa]]+otherassets8[[#Totals],[Lepida spa]]</f>
        <v>30847616</v>
      </c>
      <c r="E27" s="21">
        <f>E8+E14+E21+E25</f>
        <v>36983186</v>
      </c>
      <c r="F27" s="21">
        <f t="shared" ref="F27:K27" si="4">F14+F21+F25</f>
        <v>32923075</v>
      </c>
      <c r="G27" s="21">
        <f t="shared" si="4"/>
        <v>190777957</v>
      </c>
      <c r="H27" s="21">
        <f t="shared" si="4"/>
        <v>1031442</v>
      </c>
      <c r="I27" s="21">
        <f t="shared" si="4"/>
        <v>997939</v>
      </c>
      <c r="J27" s="21">
        <f t="shared" si="4"/>
        <v>35630660</v>
      </c>
      <c r="K27" s="21">
        <f t="shared" si="4"/>
        <v>7033125000</v>
      </c>
    </row>
    <row r="28" spans="2:11" ht="18.75" thickTop="1" thickBot="1" x14ac:dyDescent="0.35">
      <c r="B28" s="10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5.75" thickTop="1" x14ac:dyDescent="0.25">
      <c r="B29" s="31" t="s">
        <v>21</v>
      </c>
      <c r="C29" s="12"/>
      <c r="D29" s="13"/>
      <c r="E29" s="13"/>
      <c r="F29" s="13"/>
      <c r="G29" s="13"/>
      <c r="H29" s="13"/>
      <c r="I29" s="13"/>
      <c r="J29" s="13"/>
      <c r="K29" s="13"/>
    </row>
    <row r="30" spans="2:11" ht="13.5" thickBot="1" x14ac:dyDescent="0.25">
      <c r="B30" s="36" t="s">
        <v>22</v>
      </c>
      <c r="C30" s="39" t="s">
        <v>20</v>
      </c>
      <c r="D30" s="39" t="s">
        <v>42</v>
      </c>
      <c r="E30" s="42" t="s">
        <v>43</v>
      </c>
      <c r="F30" s="42" t="s">
        <v>44</v>
      </c>
      <c r="G30" s="42" t="s">
        <v>46</v>
      </c>
      <c r="H30" s="42" t="s">
        <v>48</v>
      </c>
      <c r="I30" s="42" t="s">
        <v>49</v>
      </c>
      <c r="J30" s="42" t="s">
        <v>50</v>
      </c>
      <c r="K30" s="42" t="s">
        <v>51</v>
      </c>
    </row>
    <row r="31" spans="2:11" ht="13.5" thickTop="1" x14ac:dyDescent="0.2">
      <c r="B31" s="37" t="s">
        <v>23</v>
      </c>
      <c r="C31" s="25">
        <v>19607</v>
      </c>
      <c r="D31" s="25">
        <v>18394000</v>
      </c>
      <c r="E31" s="43">
        <v>12671393</v>
      </c>
      <c r="F31" s="43">
        <v>20800000</v>
      </c>
      <c r="G31" s="43">
        <v>120000</v>
      </c>
      <c r="H31" s="43">
        <v>38000</v>
      </c>
      <c r="I31" s="43">
        <v>52000</v>
      </c>
      <c r="J31" s="43">
        <v>100000</v>
      </c>
      <c r="K31" s="43">
        <f>1276226000+214402000</f>
        <v>1490628000</v>
      </c>
    </row>
    <row r="32" spans="2:11" x14ac:dyDescent="0.2">
      <c r="B32" s="37" t="s">
        <v>24</v>
      </c>
      <c r="C32" s="25">
        <v>1276000</v>
      </c>
      <c r="D32" s="25">
        <v>0</v>
      </c>
      <c r="E32" s="43">
        <v>0</v>
      </c>
      <c r="F32" s="43">
        <v>0</v>
      </c>
      <c r="G32" s="43">
        <v>0</v>
      </c>
      <c r="H32" s="43">
        <v>20000</v>
      </c>
      <c r="I32" s="43">
        <v>0</v>
      </c>
      <c r="J32" s="43">
        <v>3963032</v>
      </c>
      <c r="K32" s="43"/>
    </row>
    <row r="33" spans="2:11" x14ac:dyDescent="0.2">
      <c r="B33" s="37" t="s">
        <v>25</v>
      </c>
      <c r="C33" s="25">
        <v>0</v>
      </c>
      <c r="D33" s="25">
        <v>0</v>
      </c>
      <c r="E33" s="43">
        <v>0</v>
      </c>
      <c r="F33" s="43">
        <v>0</v>
      </c>
      <c r="G33" s="43">
        <v>3025673</v>
      </c>
      <c r="H33" s="43">
        <v>0</v>
      </c>
      <c r="I33" s="43">
        <v>0</v>
      </c>
      <c r="J33" s="43"/>
      <c r="K33" s="43"/>
    </row>
    <row r="34" spans="2:11" x14ac:dyDescent="0.2">
      <c r="B34" s="37" t="s">
        <v>26</v>
      </c>
      <c r="C34" s="25">
        <v>0</v>
      </c>
      <c r="D34" s="25">
        <v>18553</v>
      </c>
      <c r="E34" s="43">
        <v>0</v>
      </c>
      <c r="F34" s="43">
        <v>118158</v>
      </c>
      <c r="G34" s="43">
        <v>24000</v>
      </c>
      <c r="H34" s="43">
        <v>420</v>
      </c>
      <c r="I34" s="43">
        <v>14073</v>
      </c>
      <c r="J34" s="43"/>
      <c r="K34" s="43"/>
    </row>
    <row r="35" spans="2:11" x14ac:dyDescent="0.2">
      <c r="B35" s="37" t="s">
        <v>27</v>
      </c>
      <c r="C35" s="25">
        <v>0</v>
      </c>
      <c r="D35" s="25">
        <v>0</v>
      </c>
      <c r="E35" s="43">
        <v>0</v>
      </c>
      <c r="F35" s="43">
        <v>0</v>
      </c>
      <c r="G35" s="43"/>
      <c r="H35" s="43">
        <v>0</v>
      </c>
      <c r="I35" s="43">
        <v>20977</v>
      </c>
      <c r="J35" s="43"/>
      <c r="K35" s="43"/>
    </row>
    <row r="36" spans="2:11" x14ac:dyDescent="0.2">
      <c r="B36" s="37" t="s">
        <v>28</v>
      </c>
      <c r="C36" s="25">
        <v>0</v>
      </c>
      <c r="D36" s="25">
        <v>0</v>
      </c>
      <c r="E36" s="43">
        <v>0</v>
      </c>
      <c r="F36" s="43">
        <v>0</v>
      </c>
      <c r="G36" s="43"/>
      <c r="H36" s="43">
        <v>0</v>
      </c>
      <c r="I36" s="43"/>
      <c r="J36" s="43"/>
      <c r="K36" s="43"/>
    </row>
    <row r="37" spans="2:11" x14ac:dyDescent="0.2">
      <c r="B37" s="37" t="s">
        <v>29</v>
      </c>
      <c r="C37" s="25">
        <v>1</v>
      </c>
      <c r="D37" s="25">
        <f>352491+1</f>
        <v>352492</v>
      </c>
      <c r="E37" s="43">
        <v>-2</v>
      </c>
      <c r="F37" s="43">
        <v>25323</v>
      </c>
      <c r="G37" s="43">
        <v>123098696</v>
      </c>
      <c r="H37" s="43">
        <f>400000-2</f>
        <v>399998</v>
      </c>
      <c r="I37" s="43">
        <v>29770</v>
      </c>
      <c r="J37" s="43">
        <v>100002</v>
      </c>
      <c r="K37" s="43">
        <v>311070000</v>
      </c>
    </row>
    <row r="38" spans="2:11" x14ac:dyDescent="0.2">
      <c r="B38" s="37" t="s">
        <v>30</v>
      </c>
      <c r="C38" s="25">
        <v>0</v>
      </c>
      <c r="D38" s="25">
        <v>0</v>
      </c>
      <c r="E38" s="43">
        <v>-40327</v>
      </c>
      <c r="F38" s="43">
        <v>2037001</v>
      </c>
      <c r="G38" s="43">
        <v>5028633</v>
      </c>
      <c r="H38" s="43">
        <v>-132217</v>
      </c>
      <c r="I38" s="43">
        <v>0</v>
      </c>
      <c r="J38" s="43">
        <v>0</v>
      </c>
      <c r="K38" s="43"/>
    </row>
    <row r="39" spans="2:11" ht="13.5" thickBot="1" x14ac:dyDescent="0.25">
      <c r="B39" s="37" t="s">
        <v>31</v>
      </c>
      <c r="C39" s="25">
        <v>354</v>
      </c>
      <c r="D39" s="25">
        <v>430829</v>
      </c>
      <c r="E39" s="43">
        <v>-154970</v>
      </c>
      <c r="F39" s="43">
        <v>268403</v>
      </c>
      <c r="G39" s="43">
        <v>1804189</v>
      </c>
      <c r="H39" s="43">
        <v>18142</v>
      </c>
      <c r="I39" s="43">
        <v>55417</v>
      </c>
      <c r="J39" s="43">
        <v>-3871613</v>
      </c>
      <c r="K39" s="43">
        <v>152559000</v>
      </c>
    </row>
    <row r="40" spans="2:11" ht="13.5" thickTop="1" x14ac:dyDescent="0.2">
      <c r="B40" s="29" t="s">
        <v>32</v>
      </c>
      <c r="C40" s="30">
        <f>SUBTOTAL(109,currentliabilities[Soer])</f>
        <v>1295962</v>
      </c>
      <c r="D40" s="30">
        <f>SUBTOTAL(109,currentliabilities[Lepida spa])</f>
        <v>19195874</v>
      </c>
      <c r="E40" s="45">
        <f>SUM(E31:E39)</f>
        <v>12476094</v>
      </c>
      <c r="F40" s="45">
        <f t="shared" ref="F40:K40" si="5">SUM(F31:F39)</f>
        <v>23248885</v>
      </c>
      <c r="G40" s="45">
        <f t="shared" si="5"/>
        <v>133101191</v>
      </c>
      <c r="H40" s="45">
        <f t="shared" si="5"/>
        <v>344343</v>
      </c>
      <c r="I40" s="45">
        <f t="shared" si="5"/>
        <v>172237</v>
      </c>
      <c r="J40" s="45">
        <f t="shared" si="5"/>
        <v>291421</v>
      </c>
      <c r="K40" s="45">
        <f t="shared" si="5"/>
        <v>1954257000</v>
      </c>
    </row>
    <row r="41" spans="2:11" x14ac:dyDescent="0.2">
      <c r="B41"/>
      <c r="C41"/>
      <c r="D41"/>
    </row>
    <row r="42" spans="2:11" ht="13.5" thickBot="1" x14ac:dyDescent="0.25">
      <c r="B42" s="36" t="s">
        <v>33</v>
      </c>
      <c r="C42" s="39" t="s">
        <v>20</v>
      </c>
      <c r="D42" s="39" t="s">
        <v>42</v>
      </c>
      <c r="E42" s="42" t="s">
        <v>43</v>
      </c>
      <c r="F42" s="42" t="s">
        <v>44</v>
      </c>
      <c r="G42" s="42" t="s">
        <v>46</v>
      </c>
      <c r="H42" s="42" t="s">
        <v>48</v>
      </c>
      <c r="I42" s="42" t="s">
        <v>49</v>
      </c>
      <c r="J42" s="42" t="s">
        <v>50</v>
      </c>
      <c r="K42" s="42" t="s">
        <v>51</v>
      </c>
    </row>
    <row r="43" spans="2:11" ht="14.25" thickTop="1" thickBot="1" x14ac:dyDescent="0.25">
      <c r="B43" s="37" t="s">
        <v>33</v>
      </c>
      <c r="C43" s="25">
        <v>0</v>
      </c>
      <c r="D43" s="25">
        <v>0</v>
      </c>
      <c r="E43" s="43">
        <v>502665</v>
      </c>
      <c r="F43" s="43">
        <v>0</v>
      </c>
      <c r="G43" s="43">
        <v>23159</v>
      </c>
      <c r="H43" s="43">
        <v>0</v>
      </c>
      <c r="I43" s="43">
        <v>15275</v>
      </c>
      <c r="J43" s="43">
        <v>1466554</v>
      </c>
      <c r="K43" s="43">
        <f>272744000+2197827000+110553000+81548000</f>
        <v>2662672000</v>
      </c>
    </row>
    <row r="44" spans="2:11" ht="13.5" thickTop="1" x14ac:dyDescent="0.2">
      <c r="B44" s="29" t="s">
        <v>34</v>
      </c>
      <c r="C44" s="30">
        <f>SUBTOTAL(109,longtermliabilities[Soer])</f>
        <v>0</v>
      </c>
      <c r="D44" s="30">
        <f>SUBTOTAL(109,longtermliabilities[Lepida spa])</f>
        <v>0</v>
      </c>
      <c r="E44" s="45">
        <f>SUM(E43)</f>
        <v>502665</v>
      </c>
      <c r="F44" s="45">
        <f t="shared" ref="F44:K44" si="6">SUM(F43)</f>
        <v>0</v>
      </c>
      <c r="G44" s="45">
        <f t="shared" si="6"/>
        <v>23159</v>
      </c>
      <c r="H44" s="45">
        <f t="shared" si="6"/>
        <v>0</v>
      </c>
      <c r="I44" s="45">
        <f t="shared" si="6"/>
        <v>15275</v>
      </c>
      <c r="J44" s="45">
        <f t="shared" si="6"/>
        <v>1466554</v>
      </c>
      <c r="K44" s="45">
        <f t="shared" si="6"/>
        <v>2662672000</v>
      </c>
    </row>
    <row r="45" spans="2:11" x14ac:dyDescent="0.2">
      <c r="B45"/>
      <c r="C45"/>
      <c r="D45"/>
    </row>
    <row r="46" spans="2:11" ht="13.5" thickBot="1" x14ac:dyDescent="0.25">
      <c r="B46" s="36" t="s">
        <v>35</v>
      </c>
      <c r="C46" s="39" t="s">
        <v>20</v>
      </c>
      <c r="D46" s="39" t="s">
        <v>42</v>
      </c>
      <c r="E46" s="42" t="s">
        <v>43</v>
      </c>
      <c r="F46" s="42" t="s">
        <v>44</v>
      </c>
      <c r="G46" s="42" t="s">
        <v>46</v>
      </c>
      <c r="H46" s="42" t="s">
        <v>48</v>
      </c>
      <c r="I46" s="42" t="s">
        <v>49</v>
      </c>
      <c r="J46" s="42" t="s">
        <v>50</v>
      </c>
      <c r="K46" s="42" t="s">
        <v>51</v>
      </c>
    </row>
    <row r="47" spans="2:11" ht="14.25" thickTop="1" thickBot="1" x14ac:dyDescent="0.25">
      <c r="B47" s="37" t="s">
        <v>35</v>
      </c>
      <c r="C47" s="25">
        <v>0</v>
      </c>
      <c r="D47" s="25">
        <v>449014</v>
      </c>
      <c r="E47" s="43">
        <v>214186</v>
      </c>
      <c r="F47" s="43">
        <v>0</v>
      </c>
      <c r="G47" s="43">
        <v>0</v>
      </c>
      <c r="H47" s="43">
        <v>100829</v>
      </c>
      <c r="I47" s="43">
        <v>134546</v>
      </c>
      <c r="J47" s="43">
        <v>73561</v>
      </c>
      <c r="K47" s="43">
        <v>102999000</v>
      </c>
    </row>
    <row r="48" spans="2:11" ht="13.5" thickTop="1" x14ac:dyDescent="0.2">
      <c r="B48" s="29" t="s">
        <v>36</v>
      </c>
      <c r="C48" s="30">
        <f>SUBTOTAL(109,ownersequity[Soer])</f>
        <v>0</v>
      </c>
      <c r="D48" s="30">
        <f>SUBTOTAL(109,ownersequity[Lepida spa])</f>
        <v>449014</v>
      </c>
      <c r="E48" s="45">
        <f>SUM(E47)</f>
        <v>214186</v>
      </c>
      <c r="F48" s="45">
        <f t="shared" ref="F48:K48" si="7">SUM(F47)</f>
        <v>0</v>
      </c>
      <c r="G48" s="45">
        <f t="shared" si="7"/>
        <v>0</v>
      </c>
      <c r="H48" s="45">
        <f t="shared" si="7"/>
        <v>100829</v>
      </c>
      <c r="I48" s="45">
        <f t="shared" si="7"/>
        <v>134546</v>
      </c>
      <c r="J48" s="45">
        <f t="shared" si="7"/>
        <v>73561</v>
      </c>
      <c r="K48" s="45">
        <f t="shared" si="7"/>
        <v>102999000</v>
      </c>
    </row>
    <row r="49" spans="2:11" x14ac:dyDescent="0.2">
      <c r="B49" s="34"/>
      <c r="C49" s="35"/>
      <c r="D49" s="35"/>
      <c r="E49" s="35"/>
      <c r="F49" s="35"/>
      <c r="G49" s="35"/>
      <c r="H49" s="35"/>
      <c r="I49" s="35"/>
      <c r="J49" s="35"/>
      <c r="K49" s="35"/>
    </row>
    <row r="50" spans="2:11" ht="13.5" thickBot="1" x14ac:dyDescent="0.25">
      <c r="B50" s="36" t="s">
        <v>37</v>
      </c>
      <c r="C50" s="39" t="s">
        <v>20</v>
      </c>
      <c r="D50" s="39" t="s">
        <v>42</v>
      </c>
      <c r="E50" s="42" t="s">
        <v>43</v>
      </c>
      <c r="F50" s="42" t="s">
        <v>44</v>
      </c>
      <c r="G50" s="42" t="s">
        <v>46</v>
      </c>
      <c r="H50" s="42" t="s">
        <v>48</v>
      </c>
      <c r="I50" s="42" t="s">
        <v>49</v>
      </c>
      <c r="J50" s="42" t="s">
        <v>50</v>
      </c>
      <c r="K50" s="42" t="s">
        <v>51</v>
      </c>
    </row>
    <row r="51" spans="2:11" ht="13.5" thickTop="1" x14ac:dyDescent="0.2">
      <c r="B51" s="37" t="s">
        <v>38</v>
      </c>
      <c r="C51" s="25">
        <v>36</v>
      </c>
      <c r="D51" s="25">
        <f>144085+10065642+167337+150883+166181</f>
        <v>10694128</v>
      </c>
      <c r="E51" s="43">
        <f>4485929+7709993+602084+1619164+47580+93896+160144</f>
        <v>14718790</v>
      </c>
      <c r="F51" s="43">
        <v>518342</v>
      </c>
      <c r="G51" s="43">
        <f>2216022+38799+405924+1620</f>
        <v>2662365</v>
      </c>
      <c r="H51" s="43">
        <v>586025</v>
      </c>
      <c r="I51" s="43">
        <v>637640</v>
      </c>
      <c r="J51" s="43">
        <v>8391312</v>
      </c>
      <c r="K51" s="43">
        <f>154453000+775063000+1135236000+243514000+4910000+21000</f>
        <v>2313197000</v>
      </c>
    </row>
    <row r="52" spans="2:11" ht="13.5" thickBot="1" x14ac:dyDescent="0.25">
      <c r="B52" s="37" t="s">
        <v>39</v>
      </c>
      <c r="C52" s="25">
        <v>50000</v>
      </c>
      <c r="D52" s="25">
        <v>0</v>
      </c>
      <c r="E52" s="43">
        <v>7049136</v>
      </c>
      <c r="F52" s="43">
        <v>8952142</v>
      </c>
      <c r="G52" s="43">
        <f>54871833</f>
        <v>54871833</v>
      </c>
      <c r="H52" s="43">
        <v>0</v>
      </c>
      <c r="I52" s="43">
        <v>0</v>
      </c>
      <c r="J52" s="43">
        <v>25003451</v>
      </c>
      <c r="K52" s="43"/>
    </row>
    <row r="53" spans="2:11" ht="13.5" thickTop="1" x14ac:dyDescent="0.2">
      <c r="B53" s="29" t="s">
        <v>40</v>
      </c>
      <c r="C53" s="30">
        <f>SUBTOTAL(109,ownersequity9[Soer])</f>
        <v>50036</v>
      </c>
      <c r="D53" s="30">
        <f>SUBTOTAL(109,ownersequity9[Lepida spa])</f>
        <v>10694128</v>
      </c>
      <c r="E53" s="45">
        <f>SUM(E51:E52)</f>
        <v>21767926</v>
      </c>
      <c r="F53" s="45">
        <f t="shared" ref="F53:K53" si="8">SUM(F51:F52)</f>
        <v>9470484</v>
      </c>
      <c r="G53" s="45">
        <f t="shared" si="8"/>
        <v>57534198</v>
      </c>
      <c r="H53" s="45">
        <f t="shared" si="8"/>
        <v>586025</v>
      </c>
      <c r="I53" s="45">
        <f t="shared" si="8"/>
        <v>637640</v>
      </c>
      <c r="J53" s="45">
        <f t="shared" si="8"/>
        <v>33394763</v>
      </c>
      <c r="K53" s="45">
        <f t="shared" si="8"/>
        <v>2313197000</v>
      </c>
    </row>
    <row r="54" spans="2:11" x14ac:dyDescent="0.2">
      <c r="B54" s="34"/>
      <c r="C54" s="35"/>
      <c r="D54" s="35"/>
      <c r="E54" s="35"/>
      <c r="F54" s="35"/>
      <c r="G54" s="35"/>
      <c r="H54" s="35"/>
      <c r="I54" s="35"/>
      <c r="J54" s="35"/>
      <c r="K54" s="35"/>
    </row>
    <row r="55" spans="2:11" ht="13.5" thickBot="1" x14ac:dyDescent="0.25">
      <c r="B55" s="36" t="s">
        <v>17</v>
      </c>
      <c r="C55" s="39" t="s">
        <v>20</v>
      </c>
      <c r="D55" s="39" t="s">
        <v>42</v>
      </c>
      <c r="E55" s="42" t="s">
        <v>43</v>
      </c>
      <c r="F55" s="42" t="s">
        <v>44</v>
      </c>
      <c r="G55" s="42" t="s">
        <v>46</v>
      </c>
      <c r="H55" s="42" t="s">
        <v>48</v>
      </c>
      <c r="I55" s="42" t="s">
        <v>49</v>
      </c>
      <c r="J55" s="42" t="s">
        <v>50</v>
      </c>
      <c r="K55" s="42" t="s">
        <v>51</v>
      </c>
    </row>
    <row r="56" spans="2:11" ht="14.25" thickTop="1" thickBot="1" x14ac:dyDescent="0.25">
      <c r="B56" s="37" t="s">
        <v>17</v>
      </c>
      <c r="C56" s="25">
        <v>0</v>
      </c>
      <c r="D56" s="25">
        <v>508600</v>
      </c>
      <c r="E56" s="25">
        <v>2022315</v>
      </c>
      <c r="F56" s="25">
        <v>203706</v>
      </c>
      <c r="G56" s="25">
        <v>119409</v>
      </c>
      <c r="H56" s="25">
        <v>245</v>
      </c>
      <c r="I56" s="25">
        <v>38241</v>
      </c>
      <c r="J56" s="25">
        <v>404361</v>
      </c>
      <c r="K56" s="25"/>
    </row>
    <row r="57" spans="2:11" ht="13.5" thickTop="1" x14ac:dyDescent="0.2">
      <c r="B57" s="29" t="s">
        <v>18</v>
      </c>
      <c r="C57" s="30">
        <f>SUBTOTAL(109,ownersequity10[Soer])</f>
        <v>0</v>
      </c>
      <c r="D57" s="30">
        <f>SUBTOTAL(109,ownersequity10[Lepida spa])</f>
        <v>508600</v>
      </c>
      <c r="E57" s="45">
        <f>SUM(E56)</f>
        <v>2022315</v>
      </c>
      <c r="F57" s="45">
        <f t="shared" ref="F57:K57" si="9">SUM(F56)</f>
        <v>203706</v>
      </c>
      <c r="G57" s="45">
        <f t="shared" si="9"/>
        <v>119409</v>
      </c>
      <c r="H57" s="45">
        <f t="shared" si="9"/>
        <v>245</v>
      </c>
      <c r="I57" s="45">
        <f t="shared" si="9"/>
        <v>38241</v>
      </c>
      <c r="J57" s="45">
        <f t="shared" si="9"/>
        <v>404361</v>
      </c>
      <c r="K57" s="45">
        <f t="shared" si="9"/>
        <v>0</v>
      </c>
    </row>
    <row r="58" spans="2:11" x14ac:dyDescent="0.2">
      <c r="B58" s="5"/>
      <c r="C58" s="14"/>
      <c r="D58" s="15"/>
      <c r="E58" s="15"/>
      <c r="F58" s="15"/>
      <c r="G58" s="15"/>
      <c r="H58" s="15"/>
      <c r="I58" s="15"/>
      <c r="J58" s="15"/>
      <c r="K58" s="15"/>
    </row>
    <row r="59" spans="2:11" ht="18" thickBot="1" x14ac:dyDescent="0.35">
      <c r="B59" s="38" t="s">
        <v>41</v>
      </c>
      <c r="C59" s="22">
        <f>currentliabilities[[#Totals],[Soer]]+longtermliabilities[[#Totals],[Soer]]+ownersequity[[#Totals],[Soer]]+ownersequity9[[#Totals],[Soer]]+ownersequity10[[#Totals],[Soer]]</f>
        <v>1345998</v>
      </c>
      <c r="D59" s="22">
        <f>currentliabilities[[#Totals],[Lepida spa]]+longtermliabilities[[#Totals],[Lepida spa]]+ownersequity[[#Totals],[Lepida spa]]+ownersequity9[[#Totals],[Lepida spa]]+ownersequity10[[#Totals],[Lepida spa]]</f>
        <v>30847616</v>
      </c>
      <c r="E59" s="22">
        <f>E40+E44+E48+E53+E57</f>
        <v>36983186</v>
      </c>
      <c r="F59" s="22">
        <f t="shared" ref="F59:K59" si="10">F40+F44+F48+F53+F57</f>
        <v>32923075</v>
      </c>
      <c r="G59" s="22">
        <f t="shared" si="10"/>
        <v>190777957</v>
      </c>
      <c r="H59" s="22">
        <f>H40+H44+H48+H53+H57</f>
        <v>1031442</v>
      </c>
      <c r="I59" s="22">
        <f t="shared" si="10"/>
        <v>997939</v>
      </c>
      <c r="J59" s="22">
        <f t="shared" si="10"/>
        <v>35630660</v>
      </c>
      <c r="K59" s="22">
        <f t="shared" si="10"/>
        <v>7033125000</v>
      </c>
    </row>
    <row r="60" spans="2:11" ht="13.5" thickTop="1" x14ac:dyDescent="0.2">
      <c r="B60" s="16"/>
      <c r="C60" s="17"/>
      <c r="D60" s="18"/>
    </row>
    <row r="62" spans="2:11" ht="17.25" x14ac:dyDescent="0.3">
      <c r="B62" s="20" t="s">
        <v>1</v>
      </c>
      <c r="C62" s="23">
        <f>SUM(C27-C59)</f>
        <v>0</v>
      </c>
      <c r="D62" s="23">
        <f>SUM(D27-D59)</f>
        <v>0</v>
      </c>
      <c r="E62" s="23">
        <f>SUM(E27-E59)</f>
        <v>0</v>
      </c>
      <c r="F62" s="23">
        <f t="shared" ref="F62:K62" si="11">SUM(F27-F59)</f>
        <v>0</v>
      </c>
      <c r="G62" s="23">
        <f t="shared" si="11"/>
        <v>0</v>
      </c>
      <c r="H62" s="23">
        <f t="shared" si="11"/>
        <v>0</v>
      </c>
      <c r="I62" s="23">
        <f t="shared" si="11"/>
        <v>0</v>
      </c>
      <c r="J62" s="23">
        <f t="shared" si="11"/>
        <v>0</v>
      </c>
      <c r="K62" s="23">
        <f t="shared" si="11"/>
        <v>0</v>
      </c>
    </row>
  </sheetData>
  <sheetProtection password="DFC5" sheet="1" objects="1" scenarios="1" formatCells="0" formatColumns="0" deleteColumns="0" deleteRows="0"/>
  <mergeCells count="1">
    <mergeCell ref="B1:K2"/>
  </mergeCells>
  <phoneticPr fontId="0" type="noConversion"/>
  <conditionalFormatting sqref="C62:K62">
    <cfRule type="cellIs" dxfId="109" priority="1" operator="lessThan">
      <formula>0</formula>
    </cfRule>
  </conditionalFormatting>
  <hyperlinks>
    <hyperlink ref="B1:K2" r:id="rId1" display="STATO PATRIMONIALE SOCIETA' PARTECIPATE ANNO 2012"/>
  </hyperlinks>
  <printOptions horizontalCentered="1" verticalCentered="1"/>
  <pageMargins left="0.5" right="0.5" top="0.5" bottom="0.5" header="0.5" footer="0.5"/>
  <pageSetup scale="82" orientation="portrait" horizontalDpi="4294967294"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zoomScaleSheetLayoutView="100" workbookViewId="0">
      <selection activeCell="D31" sqref="D31"/>
    </sheetView>
  </sheetViews>
  <sheetFormatPr defaultRowHeight="12.75" x14ac:dyDescent="0.2"/>
  <cols>
    <col min="1" max="1" width="2.85546875" customWidth="1"/>
    <col min="2" max="2" width="46.7109375" style="19" customWidth="1"/>
    <col min="3" max="4" width="17.5703125" style="19" customWidth="1"/>
    <col min="5" max="6" width="17.85546875" bestFit="1" customWidth="1"/>
    <col min="7" max="7" width="19.140625" bestFit="1" customWidth="1"/>
    <col min="8" max="10" width="17.85546875" bestFit="1" customWidth="1"/>
    <col min="11" max="11" width="19.140625" bestFit="1" customWidth="1"/>
  </cols>
  <sheetData>
    <row r="1" spans="2:11" x14ac:dyDescent="0.2">
      <c r="B1" s="63" t="s">
        <v>52</v>
      </c>
      <c r="C1" s="63"/>
      <c r="D1" s="63"/>
      <c r="E1" s="63"/>
      <c r="F1" s="63"/>
      <c r="G1" s="63"/>
      <c r="H1" s="63"/>
      <c r="I1" s="63"/>
      <c r="J1" s="63"/>
      <c r="K1" s="63"/>
    </row>
    <row r="2" spans="2:11" ht="13.5" thickBo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8.75" thickTop="1" thickBot="1" x14ac:dyDescent="0.35"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2:11" ht="15.75" thickTop="1" x14ac:dyDescent="0.25">
      <c r="B4" s="31"/>
      <c r="C4" s="12"/>
      <c r="D4" s="13"/>
      <c r="E4" s="13"/>
      <c r="F4" s="13"/>
      <c r="G4" s="13"/>
      <c r="H4" s="13"/>
      <c r="I4" s="13"/>
      <c r="J4" s="13"/>
      <c r="K4" s="13"/>
    </row>
    <row r="5" spans="2:11" ht="13.5" thickBot="1" x14ac:dyDescent="0.25">
      <c r="B5" s="36" t="s">
        <v>54</v>
      </c>
      <c r="C5" s="39" t="s">
        <v>20</v>
      </c>
      <c r="D5" s="39" t="s">
        <v>42</v>
      </c>
      <c r="E5" s="42" t="s">
        <v>43</v>
      </c>
      <c r="F5" s="42" t="s">
        <v>44</v>
      </c>
      <c r="G5" s="42" t="s">
        <v>46</v>
      </c>
      <c r="H5" s="42" t="s">
        <v>48</v>
      </c>
      <c r="I5" s="42" t="s">
        <v>49</v>
      </c>
      <c r="J5" s="42" t="s">
        <v>50</v>
      </c>
      <c r="K5" s="42" t="s">
        <v>51</v>
      </c>
    </row>
    <row r="6" spans="2:11" ht="13.5" thickTop="1" x14ac:dyDescent="0.2">
      <c r="B6" s="37" t="s">
        <v>55</v>
      </c>
      <c r="C6" s="25">
        <v>48535</v>
      </c>
      <c r="D6" s="25">
        <v>15444611</v>
      </c>
      <c r="E6" s="43">
        <v>3506124</v>
      </c>
      <c r="F6" s="43">
        <v>1142000</v>
      </c>
      <c r="G6" s="43">
        <v>6900000</v>
      </c>
      <c r="H6" s="43">
        <v>418434</v>
      </c>
      <c r="I6" s="43">
        <v>2003806</v>
      </c>
      <c r="J6" s="43">
        <v>2093881</v>
      </c>
      <c r="K6" s="43">
        <v>4003654000</v>
      </c>
    </row>
    <row r="7" spans="2:11" x14ac:dyDescent="0.2">
      <c r="B7" s="37" t="s">
        <v>56</v>
      </c>
      <c r="C7" s="25">
        <v>0</v>
      </c>
      <c r="D7" s="25"/>
      <c r="E7" s="43">
        <v>0</v>
      </c>
      <c r="F7" s="43"/>
      <c r="G7" s="43">
        <v>0</v>
      </c>
      <c r="H7" s="43">
        <v>-201838</v>
      </c>
      <c r="I7" s="43">
        <v>13044</v>
      </c>
      <c r="J7" s="43"/>
      <c r="K7" s="43">
        <v>669000</v>
      </c>
    </row>
    <row r="8" spans="2:11" x14ac:dyDescent="0.2">
      <c r="B8" s="37" t="s">
        <v>57</v>
      </c>
      <c r="C8" s="25">
        <v>0</v>
      </c>
      <c r="D8" s="25"/>
      <c r="E8" s="43">
        <v>0</v>
      </c>
      <c r="F8" s="43"/>
      <c r="G8" s="43">
        <v>0</v>
      </c>
      <c r="H8" s="43">
        <v>0</v>
      </c>
      <c r="I8" s="43">
        <v>0</v>
      </c>
      <c r="J8" s="43"/>
      <c r="K8" s="43"/>
    </row>
    <row r="9" spans="2:11" x14ac:dyDescent="0.2">
      <c r="B9" s="37" t="s">
        <v>58</v>
      </c>
      <c r="C9" s="25">
        <v>0</v>
      </c>
      <c r="D9" s="25">
        <v>391140</v>
      </c>
      <c r="E9" s="43">
        <v>22495563</v>
      </c>
      <c r="F9" s="43">
        <v>10</v>
      </c>
      <c r="G9" s="43">
        <v>1042</v>
      </c>
      <c r="H9" s="43">
        <v>803777</v>
      </c>
      <c r="I9" s="43">
        <v>15567</v>
      </c>
      <c r="J9" s="43">
        <v>1753825</v>
      </c>
      <c r="K9" s="43">
        <v>323518000</v>
      </c>
    </row>
    <row r="10" spans="2:11" x14ac:dyDescent="0.2">
      <c r="B10" s="46" t="s">
        <v>59</v>
      </c>
      <c r="C10" s="47">
        <f>SUBTOTAL(109,currentliabilities13[Soer])</f>
        <v>48535</v>
      </c>
      <c r="D10" s="47">
        <f>SUBTOTAL(109,currentliabilities13[Lepida spa])</f>
        <v>15835751</v>
      </c>
      <c r="E10" s="47">
        <f>SUM(E6:E9)</f>
        <v>26001687</v>
      </c>
      <c r="F10" s="47">
        <f t="shared" ref="F10:K10" si="0">SUM(F6:F9)</f>
        <v>1142010</v>
      </c>
      <c r="G10" s="47">
        <f>SUM(G6:G9)</f>
        <v>6901042</v>
      </c>
      <c r="H10" s="47">
        <f t="shared" si="0"/>
        <v>1020373</v>
      </c>
      <c r="I10" s="47">
        <f t="shared" si="0"/>
        <v>2032417</v>
      </c>
      <c r="J10" s="47">
        <f t="shared" si="0"/>
        <v>3847706</v>
      </c>
      <c r="K10" s="47">
        <f t="shared" si="0"/>
        <v>4327841000</v>
      </c>
    </row>
    <row r="11" spans="2:11" x14ac:dyDescent="0.2">
      <c r="B11"/>
      <c r="C11"/>
      <c r="D11"/>
    </row>
    <row r="12" spans="2:11" ht="13.5" thickBot="1" x14ac:dyDescent="0.25">
      <c r="B12" s="36" t="s">
        <v>60</v>
      </c>
      <c r="C12" s="39" t="s">
        <v>20</v>
      </c>
      <c r="D12" s="39" t="s">
        <v>42</v>
      </c>
      <c r="E12" s="42" t="s">
        <v>43</v>
      </c>
      <c r="F12" s="42" t="s">
        <v>44</v>
      </c>
      <c r="G12" s="42" t="s">
        <v>46</v>
      </c>
      <c r="H12" s="42" t="s">
        <v>48</v>
      </c>
      <c r="I12" s="42" t="s">
        <v>49</v>
      </c>
      <c r="J12" s="42" t="s">
        <v>50</v>
      </c>
      <c r="K12" s="42" t="s">
        <v>51</v>
      </c>
    </row>
    <row r="13" spans="2:11" ht="13.5" thickTop="1" x14ac:dyDescent="0.2">
      <c r="B13" s="37" t="s">
        <v>61</v>
      </c>
      <c r="C13" s="25">
        <v>46994</v>
      </c>
      <c r="D13" s="25">
        <v>775451</v>
      </c>
      <c r="E13" s="43">
        <v>18243</v>
      </c>
      <c r="F13" s="43">
        <v>0</v>
      </c>
      <c r="G13" s="43">
        <v>0</v>
      </c>
      <c r="H13" s="43">
        <v>55780</v>
      </c>
      <c r="I13" s="43">
        <v>1370921</v>
      </c>
      <c r="J13" s="43">
        <v>1669243</v>
      </c>
      <c r="K13" s="43">
        <v>2116257000</v>
      </c>
    </row>
    <row r="14" spans="2:11" x14ac:dyDescent="0.2">
      <c r="B14" s="37" t="s">
        <v>62</v>
      </c>
      <c r="C14" s="25">
        <v>537</v>
      </c>
      <c r="D14" s="25">
        <v>8363293</v>
      </c>
      <c r="E14" s="43">
        <v>23431271</v>
      </c>
      <c r="F14" s="43">
        <v>32260</v>
      </c>
      <c r="G14" s="43">
        <v>43147</v>
      </c>
      <c r="H14" s="43">
        <v>442846</v>
      </c>
      <c r="I14" s="43">
        <v>60856</v>
      </c>
      <c r="J14" s="43">
        <v>835313</v>
      </c>
      <c r="K14" s="43">
        <v>1236254000</v>
      </c>
    </row>
    <row r="15" spans="2:11" x14ac:dyDescent="0.2">
      <c r="B15" s="37" t="s">
        <v>63</v>
      </c>
      <c r="C15" s="25">
        <v>0</v>
      </c>
      <c r="D15" s="25">
        <v>1411699</v>
      </c>
      <c r="E15" s="43">
        <v>231789</v>
      </c>
      <c r="F15" s="43">
        <v>0</v>
      </c>
      <c r="G15" s="43">
        <v>0</v>
      </c>
      <c r="H15" s="43">
        <v>13083</v>
      </c>
      <c r="I15" s="43">
        <v>91032</v>
      </c>
      <c r="J15" s="43">
        <v>15263</v>
      </c>
      <c r="K15" s="43"/>
    </row>
    <row r="16" spans="2:11" x14ac:dyDescent="0.2">
      <c r="B16" s="37" t="s">
        <v>64</v>
      </c>
      <c r="C16" s="25">
        <v>0</v>
      </c>
      <c r="D16" s="25">
        <v>3283502</v>
      </c>
      <c r="E16" s="43">
        <v>1127961</v>
      </c>
      <c r="F16" s="43">
        <v>0</v>
      </c>
      <c r="G16" s="43">
        <v>0</v>
      </c>
      <c r="H16" s="43">
        <v>436649</v>
      </c>
      <c r="I16" s="43">
        <v>370506</v>
      </c>
      <c r="J16" s="43">
        <v>504185</v>
      </c>
      <c r="K16" s="43">
        <v>261142000</v>
      </c>
    </row>
    <row r="17" spans="2:11" x14ac:dyDescent="0.2">
      <c r="B17" s="37" t="s">
        <v>65</v>
      </c>
      <c r="C17" s="25">
        <v>0</v>
      </c>
      <c r="D17" s="25">
        <v>1144246</v>
      </c>
      <c r="E17" s="43">
        <v>731047</v>
      </c>
      <c r="F17" s="43">
        <v>0</v>
      </c>
      <c r="G17" s="43">
        <v>340</v>
      </c>
      <c r="H17" s="43">
        <v>24219</v>
      </c>
      <c r="I17" s="43">
        <v>23868</v>
      </c>
      <c r="J17" s="43">
        <v>2264224</v>
      </c>
      <c r="K17" s="43">
        <v>288674000</v>
      </c>
    </row>
    <row r="18" spans="2:11" x14ac:dyDescent="0.2">
      <c r="B18" s="37" t="s">
        <v>66</v>
      </c>
      <c r="C18" s="25"/>
      <c r="D18" s="25"/>
      <c r="E18" s="43"/>
      <c r="F18" s="43">
        <v>0</v>
      </c>
      <c r="G18" s="43">
        <v>0</v>
      </c>
      <c r="H18" s="43">
        <v>0</v>
      </c>
      <c r="I18" s="43">
        <v>0</v>
      </c>
      <c r="J18" s="43">
        <v>-4492</v>
      </c>
      <c r="K18" s="43"/>
    </row>
    <row r="19" spans="2:11" x14ac:dyDescent="0.2">
      <c r="B19" s="37" t="s">
        <v>67</v>
      </c>
      <c r="C19" s="25"/>
      <c r="D19" s="25"/>
      <c r="E19" s="43">
        <v>450163</v>
      </c>
      <c r="F19" s="43">
        <v>0</v>
      </c>
      <c r="G19" s="43">
        <v>0</v>
      </c>
      <c r="H19" s="43">
        <v>0</v>
      </c>
      <c r="I19" s="43">
        <v>1114</v>
      </c>
      <c r="J19" s="43">
        <v>1466554</v>
      </c>
      <c r="K19" s="43"/>
    </row>
    <row r="20" spans="2:11" x14ac:dyDescent="0.2">
      <c r="B20" s="37" t="s">
        <v>69</v>
      </c>
      <c r="C20" s="25"/>
      <c r="D20" s="25"/>
      <c r="E20" s="43"/>
      <c r="F20" s="43">
        <v>0</v>
      </c>
      <c r="G20" s="43">
        <v>0</v>
      </c>
      <c r="H20" s="43">
        <v>0</v>
      </c>
      <c r="I20" s="43">
        <v>8011</v>
      </c>
      <c r="J20" s="43">
        <v>0</v>
      </c>
      <c r="K20" s="43">
        <v>-20667000</v>
      </c>
    </row>
    <row r="21" spans="2:11" ht="13.5" thickBot="1" x14ac:dyDescent="0.25">
      <c r="B21" s="37" t="s">
        <v>68</v>
      </c>
      <c r="C21" s="25">
        <v>646</v>
      </c>
      <c r="D21" s="25">
        <v>156551</v>
      </c>
      <c r="E21" s="43">
        <v>208654</v>
      </c>
      <c r="F21" s="43">
        <v>123014</v>
      </c>
      <c r="G21" s="43">
        <v>752498</v>
      </c>
      <c r="H21" s="43">
        <v>20329</v>
      </c>
      <c r="I21" s="43">
        <v>30658</v>
      </c>
      <c r="J21" s="43">
        <v>525046</v>
      </c>
      <c r="K21" s="43">
        <v>105250000</v>
      </c>
    </row>
    <row r="22" spans="2:11" ht="13.5" thickTop="1" x14ac:dyDescent="0.2">
      <c r="B22" s="46" t="s">
        <v>70</v>
      </c>
      <c r="C22" s="47">
        <f>SUBTOTAL(109,longtermliabilities14[Soer])</f>
        <v>48177</v>
      </c>
      <c r="D22" s="47">
        <f>SUBTOTAL(109,longtermliabilities14[Lepida spa])</f>
        <v>15134742</v>
      </c>
      <c r="E22" s="45">
        <f>SUM(E13:E21)</f>
        <v>26199128</v>
      </c>
      <c r="F22" s="45">
        <f t="shared" ref="F22:K22" si="1">SUM(F13:F21)</f>
        <v>155274</v>
      </c>
      <c r="G22" s="45">
        <f t="shared" si="1"/>
        <v>795985</v>
      </c>
      <c r="H22" s="45">
        <f t="shared" si="1"/>
        <v>992906</v>
      </c>
      <c r="I22" s="45">
        <f t="shared" si="1"/>
        <v>1956966</v>
      </c>
      <c r="J22" s="45">
        <f t="shared" si="1"/>
        <v>7275336</v>
      </c>
      <c r="K22" s="45">
        <f t="shared" si="1"/>
        <v>3986910000</v>
      </c>
    </row>
    <row r="23" spans="2:11" x14ac:dyDescent="0.2">
      <c r="B23"/>
      <c r="C23"/>
      <c r="D23"/>
    </row>
    <row r="24" spans="2:11" ht="13.5" thickBot="1" x14ac:dyDescent="0.25">
      <c r="B24" s="36" t="s">
        <v>72</v>
      </c>
      <c r="C24" s="39" t="s">
        <v>20</v>
      </c>
      <c r="D24" s="39" t="s">
        <v>42</v>
      </c>
      <c r="E24" s="42" t="s">
        <v>43</v>
      </c>
      <c r="F24" s="42" t="s">
        <v>44</v>
      </c>
      <c r="G24" s="42" t="s">
        <v>46</v>
      </c>
      <c r="H24" s="42" t="s">
        <v>48</v>
      </c>
      <c r="I24" s="42" t="s">
        <v>49</v>
      </c>
      <c r="J24" s="42" t="s">
        <v>50</v>
      </c>
      <c r="K24" s="42" t="s">
        <v>51</v>
      </c>
    </row>
    <row r="25" spans="2:11" s="49" customFormat="1" ht="13.5" thickTop="1" x14ac:dyDescent="0.2">
      <c r="B25" s="51"/>
      <c r="C25" s="52"/>
      <c r="D25" s="52"/>
      <c r="E25" s="53"/>
      <c r="F25" s="53"/>
      <c r="G25" s="53"/>
      <c r="H25" s="53"/>
      <c r="I25" s="53"/>
      <c r="J25" s="53"/>
      <c r="K25" s="53"/>
    </row>
    <row r="26" spans="2:11" s="49" customFormat="1" x14ac:dyDescent="0.2">
      <c r="B26" s="54" t="s">
        <v>71</v>
      </c>
      <c r="C26" s="55">
        <f>currentliabilities13[[#Totals],[Soer]]-longtermliabilities14[[#Totals],[Soer]]</f>
        <v>358</v>
      </c>
      <c r="D26" s="55">
        <f>currentliabilities13[[#Totals],[Lepida spa]]-longtermliabilities14[[#Totals],[Lepida spa]]</f>
        <v>701009</v>
      </c>
      <c r="E26" s="50">
        <f>E10-E22</f>
        <v>-197441</v>
      </c>
      <c r="F26" s="50">
        <f t="shared" ref="F26:K26" si="2">F10-F22</f>
        <v>986736</v>
      </c>
      <c r="G26" s="50">
        <f t="shared" si="2"/>
        <v>6105057</v>
      </c>
      <c r="H26" s="50">
        <f t="shared" si="2"/>
        <v>27467</v>
      </c>
      <c r="I26" s="50">
        <f t="shared" si="2"/>
        <v>75451</v>
      </c>
      <c r="J26" s="50">
        <f t="shared" si="2"/>
        <v>-3427630</v>
      </c>
      <c r="K26" s="50">
        <f t="shared" si="2"/>
        <v>340931000</v>
      </c>
    </row>
    <row r="27" spans="2:11" x14ac:dyDescent="0.2">
      <c r="B27" s="34"/>
      <c r="C27" s="35"/>
      <c r="D27" s="35"/>
      <c r="E27" s="35"/>
      <c r="F27" s="35"/>
      <c r="G27" s="35"/>
      <c r="H27" s="35"/>
      <c r="I27" s="35"/>
      <c r="J27" s="35"/>
      <c r="K27" s="35"/>
    </row>
    <row r="28" spans="2:11" ht="13.5" thickBot="1" x14ac:dyDescent="0.25">
      <c r="B28" s="36" t="s">
        <v>73</v>
      </c>
      <c r="C28" s="39" t="s">
        <v>20</v>
      </c>
      <c r="D28" s="39" t="s">
        <v>42</v>
      </c>
      <c r="E28" s="42" t="s">
        <v>43</v>
      </c>
      <c r="F28" s="42" t="s">
        <v>44</v>
      </c>
      <c r="G28" s="42" t="s">
        <v>46</v>
      </c>
      <c r="H28" s="42" t="s">
        <v>48</v>
      </c>
      <c r="I28" s="42" t="s">
        <v>49</v>
      </c>
      <c r="J28" s="42" t="s">
        <v>50</v>
      </c>
      <c r="K28" s="42" t="s">
        <v>51</v>
      </c>
    </row>
    <row r="29" spans="2:11" ht="13.5" thickTop="1" x14ac:dyDescent="0.2">
      <c r="B29" s="37" t="s">
        <v>74</v>
      </c>
      <c r="C29" s="25">
        <v>0</v>
      </c>
      <c r="D29" s="25">
        <v>0</v>
      </c>
      <c r="E29" s="43">
        <v>3817</v>
      </c>
      <c r="F29" s="43">
        <v>0</v>
      </c>
      <c r="G29" s="43">
        <v>0</v>
      </c>
      <c r="H29" s="43">
        <v>0</v>
      </c>
      <c r="I29" s="43">
        <v>0</v>
      </c>
      <c r="J29" s="43">
        <v>15</v>
      </c>
      <c r="K29" s="43">
        <f>9673000-105000</f>
        <v>9568000</v>
      </c>
    </row>
    <row r="30" spans="2:11" x14ac:dyDescent="0.2">
      <c r="B30" s="37" t="s">
        <v>75</v>
      </c>
      <c r="C30" s="25">
        <v>1</v>
      </c>
      <c r="D30" s="25">
        <v>7230</v>
      </c>
      <c r="E30" s="43">
        <v>9070</v>
      </c>
      <c r="F30" s="43">
        <v>2547</v>
      </c>
      <c r="G30" s="43">
        <v>3324</v>
      </c>
      <c r="H30" s="43">
        <v>495</v>
      </c>
      <c r="I30" s="43">
        <v>7367</v>
      </c>
      <c r="J30" s="43">
        <v>3188</v>
      </c>
      <c r="K30" s="43">
        <v>26533000</v>
      </c>
    </row>
    <row r="31" spans="2:11" x14ac:dyDescent="0.2">
      <c r="B31" s="37" t="s">
        <v>76</v>
      </c>
      <c r="C31" s="25">
        <v>5</v>
      </c>
      <c r="D31" s="25">
        <v>48</v>
      </c>
      <c r="E31" s="48">
        <v>227410</v>
      </c>
      <c r="F31" s="48">
        <v>482824</v>
      </c>
      <c r="G31" s="48">
        <v>2929277</v>
      </c>
      <c r="H31" s="48">
        <v>2005</v>
      </c>
      <c r="I31" s="48">
        <v>3</v>
      </c>
      <c r="J31" s="48">
        <v>589896</v>
      </c>
      <c r="K31" s="48">
        <v>129610000</v>
      </c>
    </row>
    <row r="32" spans="2:11" ht="13.5" thickBot="1" x14ac:dyDescent="0.25">
      <c r="B32" s="37" t="s">
        <v>77</v>
      </c>
      <c r="C32" s="25"/>
      <c r="D32" s="25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-37</v>
      </c>
      <c r="K32" s="48"/>
    </row>
    <row r="33" spans="2:11" ht="13.5" thickTop="1" x14ac:dyDescent="0.2">
      <c r="B33" s="46" t="s">
        <v>78</v>
      </c>
      <c r="C33" s="47">
        <f>C29+C30-C31-C32</f>
        <v>-4</v>
      </c>
      <c r="D33" s="47">
        <f>D29+D30-D31-D32</f>
        <v>7182</v>
      </c>
      <c r="E33" s="45">
        <f>E29+E30-E31-E32</f>
        <v>-214523</v>
      </c>
      <c r="F33" s="45">
        <f t="shared" ref="F33:K33" si="3">F29+F30-F31-F32</f>
        <v>-480277</v>
      </c>
      <c r="G33" s="45">
        <f t="shared" si="3"/>
        <v>-2925953</v>
      </c>
      <c r="H33" s="45">
        <f t="shared" si="3"/>
        <v>-1510</v>
      </c>
      <c r="I33" s="45">
        <f t="shared" si="3"/>
        <v>7364</v>
      </c>
      <c r="J33" s="45">
        <f>J29+J30-J31+J32</f>
        <v>-586730</v>
      </c>
      <c r="K33" s="45">
        <f t="shared" si="3"/>
        <v>-93509000</v>
      </c>
    </row>
    <row r="34" spans="2:11" x14ac:dyDescent="0.2"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2:11" ht="13.5" thickBot="1" x14ac:dyDescent="0.25">
      <c r="B35" s="36" t="s">
        <v>79</v>
      </c>
      <c r="C35" s="39" t="s">
        <v>20</v>
      </c>
      <c r="D35" s="39" t="s">
        <v>42</v>
      </c>
      <c r="E35" s="42" t="s">
        <v>43</v>
      </c>
      <c r="F35" s="42" t="s">
        <v>44</v>
      </c>
      <c r="G35" s="42" t="s">
        <v>46</v>
      </c>
      <c r="H35" s="42" t="s">
        <v>48</v>
      </c>
      <c r="I35" s="42" t="s">
        <v>49</v>
      </c>
      <c r="J35" s="42" t="s">
        <v>50</v>
      </c>
      <c r="K35" s="42" t="s">
        <v>51</v>
      </c>
    </row>
    <row r="36" spans="2:11" ht="13.5" thickTop="1" x14ac:dyDescent="0.2">
      <c r="B36" s="37" t="s">
        <v>80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/>
      <c r="I36" s="25">
        <v>0</v>
      </c>
      <c r="J36" s="25"/>
      <c r="K36" s="25"/>
    </row>
    <row r="37" spans="2:11" ht="13.5" thickBot="1" x14ac:dyDescent="0.25">
      <c r="B37" s="37" t="s">
        <v>81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/>
      <c r="I37" s="25">
        <v>0</v>
      </c>
      <c r="J37" s="25">
        <v>-55000</v>
      </c>
      <c r="K37" s="25"/>
    </row>
    <row r="38" spans="2:11" ht="13.5" thickTop="1" x14ac:dyDescent="0.2">
      <c r="B38" s="46" t="s">
        <v>82</v>
      </c>
      <c r="C38" s="47">
        <f>SUBTOTAL(109,ownersequity1019[Soer])</f>
        <v>0</v>
      </c>
      <c r="D38" s="47">
        <f>SUBTOTAL(109,ownersequity1019[Lepida spa])</f>
        <v>0</v>
      </c>
      <c r="E38" s="45">
        <f>SUM(E36)</f>
        <v>0</v>
      </c>
      <c r="F38" s="45">
        <f t="shared" ref="F38:K38" si="4">SUM(F36)</f>
        <v>0</v>
      </c>
      <c r="G38" s="45">
        <f t="shared" si="4"/>
        <v>0</v>
      </c>
      <c r="H38" s="45">
        <f t="shared" si="4"/>
        <v>0</v>
      </c>
      <c r="I38" s="45">
        <f t="shared" si="4"/>
        <v>0</v>
      </c>
      <c r="J38" s="45">
        <f>SUM(J36:J37)</f>
        <v>-55000</v>
      </c>
      <c r="K38" s="45">
        <f t="shared" si="4"/>
        <v>0</v>
      </c>
    </row>
    <row r="39" spans="2:11" x14ac:dyDescent="0.2">
      <c r="B39" s="5"/>
      <c r="C39" s="14"/>
      <c r="D39" s="15"/>
      <c r="E39" s="15"/>
      <c r="F39" s="15"/>
      <c r="G39" s="15"/>
      <c r="H39" s="15"/>
      <c r="I39" s="15"/>
      <c r="J39" s="15"/>
      <c r="K39" s="15"/>
    </row>
    <row r="40" spans="2:11" ht="13.5" thickBot="1" x14ac:dyDescent="0.25">
      <c r="B40" s="36" t="s">
        <v>83</v>
      </c>
      <c r="C40" s="39" t="s">
        <v>20</v>
      </c>
      <c r="D40" s="39" t="s">
        <v>42</v>
      </c>
      <c r="E40" s="42" t="s">
        <v>43</v>
      </c>
      <c r="F40" s="42" t="s">
        <v>44</v>
      </c>
      <c r="G40" s="42" t="s">
        <v>46</v>
      </c>
      <c r="H40" s="42" t="s">
        <v>48</v>
      </c>
      <c r="I40" s="42" t="s">
        <v>49</v>
      </c>
      <c r="J40" s="42" t="s">
        <v>50</v>
      </c>
      <c r="K40" s="42" t="s">
        <v>51</v>
      </c>
    </row>
    <row r="41" spans="2:11" ht="13.5" thickTop="1" x14ac:dyDescent="0.2">
      <c r="B41" s="37" t="s">
        <v>84</v>
      </c>
      <c r="C41" s="25">
        <v>0</v>
      </c>
      <c r="D41" s="25">
        <v>93195</v>
      </c>
      <c r="E41" s="25">
        <v>327581</v>
      </c>
      <c r="F41" s="25">
        <v>13003</v>
      </c>
      <c r="G41" s="25">
        <v>0</v>
      </c>
      <c r="H41" s="25">
        <v>4511</v>
      </c>
      <c r="I41" s="25">
        <v>13500</v>
      </c>
      <c r="J41" s="25">
        <v>217889</v>
      </c>
      <c r="K41" s="25"/>
    </row>
    <row r="42" spans="2:11" ht="13.5" thickBot="1" x14ac:dyDescent="0.25">
      <c r="B42" s="37" t="s">
        <v>85</v>
      </c>
      <c r="C42" s="25">
        <v>0</v>
      </c>
      <c r="D42" s="25">
        <v>61963</v>
      </c>
      <c r="E42" s="25">
        <v>3</v>
      </c>
      <c r="F42" s="25">
        <v>0</v>
      </c>
      <c r="G42" s="25">
        <v>0</v>
      </c>
      <c r="H42" s="25">
        <v>603</v>
      </c>
      <c r="I42" s="25">
        <v>0</v>
      </c>
      <c r="J42" s="25">
        <v>20142</v>
      </c>
      <c r="K42" s="25"/>
    </row>
    <row r="43" spans="2:11" ht="13.5" thickTop="1" x14ac:dyDescent="0.2">
      <c r="B43" s="46" t="s">
        <v>86</v>
      </c>
      <c r="C43" s="47">
        <f>C41-C42</f>
        <v>0</v>
      </c>
      <c r="D43" s="47">
        <f>D41-D42</f>
        <v>31232</v>
      </c>
      <c r="E43" s="45">
        <f>E41-E42</f>
        <v>327578</v>
      </c>
      <c r="F43" s="45">
        <f t="shared" ref="F43:K43" si="5">F41-F42</f>
        <v>13003</v>
      </c>
      <c r="G43" s="45">
        <f t="shared" si="5"/>
        <v>0</v>
      </c>
      <c r="H43" s="45">
        <f t="shared" si="5"/>
        <v>3908</v>
      </c>
      <c r="I43" s="45">
        <f t="shared" si="5"/>
        <v>13500</v>
      </c>
      <c r="J43" s="45">
        <f t="shared" si="5"/>
        <v>197747</v>
      </c>
      <c r="K43" s="45">
        <f t="shared" si="5"/>
        <v>0</v>
      </c>
    </row>
    <row r="44" spans="2:11" x14ac:dyDescent="0.2">
      <c r="B44" s="56"/>
      <c r="C44" s="57"/>
      <c r="D44" s="57"/>
      <c r="E44" s="58"/>
      <c r="F44" s="58"/>
      <c r="G44" s="58"/>
      <c r="H44" s="58"/>
      <c r="I44" s="58"/>
      <c r="J44" s="58"/>
      <c r="K44" s="58"/>
    </row>
    <row r="45" spans="2:11" x14ac:dyDescent="0.2">
      <c r="B45" s="59" t="s">
        <v>89</v>
      </c>
      <c r="C45" s="60">
        <f>ownersequity15[[#Totals],[Soer]]+ownersequity918[[#Totals],[Soer]]+ownersequity1019[[#Totals],[Soer]]+ownersequity101926[[#Totals],[Soer]]</f>
        <v>354</v>
      </c>
      <c r="D45" s="60">
        <f>ownersequity15[[#Totals],[Lepida spa]]+ownersequity918[[#Totals],[Lepida spa]]+ownersequity1019[[#Totals],[Lepida spa]]+ownersequity101926[[#Totals],[Lepida spa]]</f>
        <v>739423</v>
      </c>
      <c r="E45" s="60">
        <f>E26+E33+E38+E43</f>
        <v>-84386</v>
      </c>
      <c r="F45" s="60">
        <f t="shared" ref="F45:K45" si="6">F26+F33+F38+F43</f>
        <v>519462</v>
      </c>
      <c r="G45" s="60">
        <f t="shared" si="6"/>
        <v>3179104</v>
      </c>
      <c r="H45" s="60">
        <f t="shared" si="6"/>
        <v>29865</v>
      </c>
      <c r="I45" s="60">
        <f t="shared" si="6"/>
        <v>96315</v>
      </c>
      <c r="J45" s="60">
        <f>J26+J33+J38+J43</f>
        <v>-3871613</v>
      </c>
      <c r="K45" s="60">
        <f t="shared" si="6"/>
        <v>247422000</v>
      </c>
    </row>
    <row r="46" spans="2:11" x14ac:dyDescent="0.2">
      <c r="B46" s="5"/>
      <c r="C46" s="14"/>
      <c r="D46" s="15"/>
      <c r="E46" s="15"/>
      <c r="F46" s="15"/>
      <c r="G46" s="15"/>
      <c r="H46" s="15"/>
      <c r="I46" s="15"/>
      <c r="J46" s="15"/>
      <c r="K46" s="15"/>
    </row>
    <row r="47" spans="2:11" x14ac:dyDescent="0.2">
      <c r="B47" s="37" t="s">
        <v>87</v>
      </c>
      <c r="C47" s="25">
        <v>0</v>
      </c>
      <c r="D47" s="25">
        <v>308594</v>
      </c>
      <c r="E47" s="25">
        <v>70584</v>
      </c>
      <c r="F47" s="25">
        <v>251059</v>
      </c>
      <c r="G47" s="25">
        <v>1374915</v>
      </c>
      <c r="H47" s="25">
        <v>11723</v>
      </c>
      <c r="I47" s="25">
        <v>40898</v>
      </c>
      <c r="J47" s="25"/>
      <c r="K47" s="25">
        <v>85251000</v>
      </c>
    </row>
    <row r="48" spans="2:11" x14ac:dyDescent="0.2">
      <c r="B48" s="37"/>
      <c r="C48" s="25"/>
      <c r="D48" s="25"/>
      <c r="E48" s="25"/>
      <c r="F48" s="25"/>
      <c r="G48" s="25"/>
      <c r="H48" s="25"/>
      <c r="I48" s="25"/>
      <c r="J48" s="25"/>
      <c r="K48" s="25"/>
    </row>
    <row r="49" spans="2:11" ht="18" thickBot="1" x14ac:dyDescent="0.35">
      <c r="B49" s="38" t="s">
        <v>88</v>
      </c>
      <c r="C49" s="22">
        <f>C45-C47</f>
        <v>354</v>
      </c>
      <c r="D49" s="22">
        <f>D45-D47</f>
        <v>430829</v>
      </c>
      <c r="E49" s="22">
        <f t="shared" ref="E49:K49" si="7">E45-E47</f>
        <v>-154970</v>
      </c>
      <c r="F49" s="22">
        <f t="shared" si="7"/>
        <v>268403</v>
      </c>
      <c r="G49" s="22">
        <f t="shared" si="7"/>
        <v>1804189</v>
      </c>
      <c r="H49" s="22">
        <f t="shared" si="7"/>
        <v>18142</v>
      </c>
      <c r="I49" s="22">
        <f t="shared" si="7"/>
        <v>55417</v>
      </c>
      <c r="J49" s="22">
        <f t="shared" si="7"/>
        <v>-3871613</v>
      </c>
      <c r="K49" s="22">
        <f t="shared" si="7"/>
        <v>162171000</v>
      </c>
    </row>
    <row r="50" spans="2:11" ht="13.5" thickTop="1" x14ac:dyDescent="0.2">
      <c r="B50" s="16"/>
      <c r="C50" s="17"/>
      <c r="D50" s="18"/>
    </row>
    <row r="52" spans="2:11" ht="17.25" x14ac:dyDescent="0.3">
      <c r="B52" s="20"/>
      <c r="C52" s="23"/>
      <c r="D52" s="23"/>
      <c r="E52" s="23"/>
      <c r="F52" s="23"/>
      <c r="G52" s="23"/>
      <c r="H52" s="23"/>
      <c r="I52" s="23"/>
      <c r="J52" s="23"/>
      <c r="K52" s="23"/>
    </row>
  </sheetData>
  <sheetProtection password="DFC5" sheet="1" objects="1" scenarios="1" formatCells="0" formatColumns="0" deleteColumns="0" deleteRows="0"/>
  <mergeCells count="1">
    <mergeCell ref="B1:K2"/>
  </mergeCells>
  <conditionalFormatting sqref="C52:K52">
    <cfRule type="cellIs" dxfId="48" priority="1" operator="lessThan">
      <formula>0</formula>
    </cfRule>
  </conditionalFormatting>
  <printOptions horizontalCentered="1" verticalCentered="1"/>
  <pageMargins left="0.5" right="0.5" top="0.5" bottom="0.5" header="0.5" footer="0.5"/>
  <pageSetup scale="82" orientation="portrait" horizontalDpi="4294967294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37BD5E5-4B93-4FB1-8AA0-77F1EB606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Stato patrimoniale</vt:lpstr>
      <vt:lpstr>Conto economico</vt:lpstr>
      <vt:lpstr>'Conto economico'!Area_stampa</vt:lpstr>
      <vt:lpstr>'Stato patrimoniale'!Area_stampa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</dc:title>
  <dc:creator>Paolo Fontanesi</dc:creator>
  <cp:lastModifiedBy>Paolo Fontanesi</cp:lastModifiedBy>
  <cp:lastPrinted>2007-05-08T18:31:54Z</cp:lastPrinted>
  <dcterms:created xsi:type="dcterms:W3CDTF">2013-07-25T10:58:30Z</dcterms:created>
  <dcterms:modified xsi:type="dcterms:W3CDTF">2013-10-31T11:47:42Z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TC100738769990</vt:lpwstr>
  </property>
</Properties>
</file>