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720" yWindow="600" windowWidth="17955" windowHeight="11295" firstSheet="28" activeTab="36"/>
  </bookViews>
  <sheets>
    <sheet name="mappatura ente" sheetId="42" r:id="rId1"/>
    <sheet name="mappatura I° settore" sheetId="43" r:id="rId2"/>
    <sheet name="001" sheetId="4" r:id="rId3"/>
    <sheet name="003" sheetId="5" r:id="rId4"/>
    <sheet name="004" sheetId="6" r:id="rId5"/>
    <sheet name="005" sheetId="7" r:id="rId6"/>
    <sheet name="riep I° sett." sheetId="14" r:id="rId7"/>
    <sheet name="mappatura II° settore " sheetId="44" r:id="rId8"/>
    <sheet name="006" sheetId="8" r:id="rId9"/>
    <sheet name="007" sheetId="9" r:id="rId10"/>
    <sheet name="008" sheetId="10" r:id="rId11"/>
    <sheet name="009" sheetId="11" r:id="rId12"/>
    <sheet name="010" sheetId="12" r:id="rId13"/>
    <sheet name="riep II° sett." sheetId="15" r:id="rId14"/>
    <sheet name="mappatura III° settore " sheetId="45" r:id="rId15"/>
    <sheet name="011" sheetId="16" r:id="rId16"/>
    <sheet name="013" sheetId="17" r:id="rId17"/>
    <sheet name="014" sheetId="18" r:id="rId18"/>
    <sheet name="riep III° sett. " sheetId="26" r:id="rId19"/>
    <sheet name="mappatura IV° settore" sheetId="46" r:id="rId20"/>
    <sheet name="015" sheetId="20" r:id="rId21"/>
    <sheet name="016" sheetId="21" r:id="rId22"/>
    <sheet name="017" sheetId="22" r:id="rId23"/>
    <sheet name="018" sheetId="23" r:id="rId24"/>
    <sheet name="019" sheetId="25" r:id="rId25"/>
    <sheet name="021" sheetId="28" r:id="rId26"/>
    <sheet name="riep IV° sett." sheetId="27" r:id="rId27"/>
    <sheet name="mappatura V° settore " sheetId="47" r:id="rId28"/>
    <sheet name="022" sheetId="29" r:id="rId29"/>
    <sheet name="023" sheetId="30" r:id="rId30"/>
    <sheet name="riep V° sett." sheetId="31" r:id="rId31"/>
    <sheet name="mappatura VI° settore" sheetId="48" r:id="rId32"/>
    <sheet name="024" sheetId="36" r:id="rId33"/>
    <sheet name="025" sheetId="32" r:id="rId34"/>
    <sheet name="026" sheetId="33" r:id="rId35"/>
    <sheet name="027" sheetId="34" r:id="rId36"/>
    <sheet name="028" sheetId="35" r:id="rId37"/>
    <sheet name="riep. VI° sett." sheetId="37" r:id="rId38"/>
    <sheet name="riep. generale" sheetId="39" r:id="rId39"/>
  </sheets>
  <definedNames>
    <definedName name="_xlnm.Print_Area" localSheetId="1">'mappatura I° settore'!$A$1:$K$32</definedName>
  </definedNames>
  <calcPr calcId="145621"/>
</workbook>
</file>

<file path=xl/calcChain.xml><?xml version="1.0" encoding="utf-8"?>
<calcChain xmlns="http://schemas.openxmlformats.org/spreadsheetml/2006/main">
  <c r="C55" i="33" l="1"/>
  <c r="C49" i="33"/>
  <c r="C48" i="33"/>
  <c r="C50" i="33"/>
  <c r="C47" i="33"/>
  <c r="C45" i="33"/>
  <c r="C46" i="33"/>
  <c r="C49" i="36"/>
  <c r="C37" i="23"/>
  <c r="C34" i="21"/>
  <c r="C34" i="18"/>
  <c r="C33" i="18"/>
  <c r="C60" i="11"/>
  <c r="C59" i="11"/>
  <c r="C54" i="11"/>
  <c r="C55" i="11"/>
  <c r="C53" i="11"/>
  <c r="C49" i="11"/>
  <c r="C32" i="10"/>
  <c r="C57" i="9"/>
  <c r="C56" i="9"/>
  <c r="C52" i="9"/>
  <c r="C51" i="9"/>
  <c r="F53" i="9"/>
  <c r="C47" i="9"/>
  <c r="C48" i="9" s="1"/>
  <c r="C33" i="7"/>
  <c r="C49" i="5"/>
  <c r="C45" i="5"/>
  <c r="E86" i="39"/>
  <c r="E85" i="39"/>
  <c r="E83" i="39"/>
  <c r="E82" i="39"/>
  <c r="E81" i="39"/>
  <c r="G45" i="37"/>
  <c r="F45" i="37"/>
  <c r="D45" i="37"/>
  <c r="C45" i="37"/>
  <c r="B45" i="37"/>
  <c r="G41" i="37"/>
  <c r="F41" i="37"/>
  <c r="E41" i="37"/>
  <c r="C28" i="36"/>
  <c r="D41" i="37" s="1"/>
  <c r="C41" i="37"/>
  <c r="B41" i="37"/>
  <c r="F42" i="37"/>
  <c r="E46" i="37"/>
  <c r="G41" i="31"/>
  <c r="F41" i="31"/>
  <c r="D41" i="31"/>
  <c r="C41" i="31"/>
  <c r="B41" i="31"/>
  <c r="E43" i="31"/>
  <c r="F46" i="27"/>
  <c r="B46" i="27"/>
  <c r="G45" i="27"/>
  <c r="H45" i="27" s="1"/>
  <c r="F45" i="27"/>
  <c r="D45" i="27"/>
  <c r="C45" i="27"/>
  <c r="B45" i="27"/>
  <c r="I42" i="27"/>
  <c r="G42" i="27"/>
  <c r="F42" i="27"/>
  <c r="D42" i="27"/>
  <c r="C42" i="27"/>
  <c r="B42" i="27"/>
  <c r="G46" i="27"/>
  <c r="D46" i="27"/>
  <c r="C46" i="27"/>
  <c r="I44" i="27"/>
  <c r="G41" i="26"/>
  <c r="F41" i="26"/>
  <c r="D41" i="26"/>
  <c r="C41" i="26"/>
  <c r="B41" i="26"/>
  <c r="E41" i="26"/>
  <c r="E44" i="26" s="1"/>
  <c r="G45" i="15"/>
  <c r="F45" i="15"/>
  <c r="C24" i="11"/>
  <c r="D45" i="15" s="1"/>
  <c r="C45" i="15"/>
  <c r="B45" i="15"/>
  <c r="G44" i="15"/>
  <c r="F44" i="15"/>
  <c r="D44" i="15"/>
  <c r="C44" i="15"/>
  <c r="B44" i="15"/>
  <c r="I42" i="15"/>
  <c r="G42" i="15"/>
  <c r="F42" i="15"/>
  <c r="D42" i="15"/>
  <c r="C42" i="15"/>
  <c r="B42" i="15"/>
  <c r="E47" i="15"/>
  <c r="I45" i="15"/>
  <c r="B42" i="14"/>
  <c r="F26" i="36"/>
  <c r="F36" i="36"/>
  <c r="F13" i="36"/>
  <c r="F11" i="36"/>
  <c r="F27" i="23"/>
  <c r="H45" i="37" l="1"/>
  <c r="J45" i="37" s="1"/>
  <c r="H41" i="37"/>
  <c r="H41" i="31"/>
  <c r="H46" i="27"/>
  <c r="J46" i="27" s="1"/>
  <c r="H42" i="27"/>
  <c r="H41" i="26"/>
  <c r="H45" i="15"/>
  <c r="J45" i="15" s="1"/>
  <c r="H44" i="15"/>
  <c r="H42" i="15"/>
  <c r="D22" i="11"/>
  <c r="I42" i="14"/>
  <c r="H42" i="14"/>
  <c r="G42" i="14"/>
  <c r="F42" i="14"/>
  <c r="D42" i="14"/>
  <c r="C42" i="14"/>
  <c r="B9" i="14"/>
  <c r="E46" i="14"/>
  <c r="G43" i="14"/>
  <c r="G46" i="14" s="1"/>
  <c r="G81" i="39" s="1"/>
  <c r="J41" i="31" l="1"/>
  <c r="J42" i="27"/>
  <c r="J41" i="26"/>
  <c r="J42" i="15"/>
  <c r="F21" i="28"/>
  <c r="F20" i="11"/>
  <c r="F20" i="28"/>
  <c r="F19" i="17"/>
  <c r="D23" i="36"/>
  <c r="F22" i="36"/>
  <c r="D20" i="34"/>
  <c r="D21" i="34"/>
  <c r="D22" i="34"/>
  <c r="F20" i="34"/>
  <c r="F19" i="11"/>
  <c r="D21" i="5"/>
  <c r="F21" i="5"/>
  <c r="F19" i="21"/>
  <c r="F23" i="11"/>
  <c r="F19" i="28"/>
  <c r="F18" i="11"/>
  <c r="D22" i="28"/>
  <c r="D18" i="5"/>
  <c r="B18" i="11"/>
  <c r="D18" i="11"/>
  <c r="D19" i="11"/>
  <c r="D20" i="11"/>
  <c r="B18" i="22"/>
  <c r="B21" i="28"/>
  <c r="D21" i="28" s="1"/>
  <c r="F23" i="23"/>
  <c r="C23" i="23"/>
  <c r="D19" i="23"/>
  <c r="D20" i="23"/>
  <c r="B20" i="11"/>
  <c r="B22" i="36"/>
  <c r="D22" i="36" s="1"/>
  <c r="B19" i="21"/>
  <c r="D19" i="21" s="1"/>
  <c r="D19" i="28"/>
  <c r="D20" i="28"/>
  <c r="B23" i="11"/>
  <c r="B29" i="34"/>
  <c r="F19" i="34"/>
  <c r="F37" i="36"/>
  <c r="F25" i="36"/>
  <c r="F24" i="28"/>
  <c r="B20" i="5"/>
  <c r="F20" i="5"/>
  <c r="J42" i="14" l="1"/>
  <c r="D20" i="5"/>
  <c r="B35" i="28"/>
  <c r="B24" i="28"/>
  <c r="D24" i="28" s="1"/>
  <c r="B25" i="36"/>
  <c r="B37" i="36"/>
  <c r="B19" i="34"/>
  <c r="D37" i="36"/>
  <c r="D19" i="34"/>
  <c r="D25" i="36"/>
  <c r="B29" i="5"/>
  <c r="D19" i="5"/>
  <c r="D24" i="36"/>
  <c r="F29" i="28"/>
  <c r="D28" i="28"/>
  <c r="D29" i="28" s="1"/>
  <c r="C29" i="28"/>
  <c r="E47" i="27" s="1"/>
  <c r="E48" i="27" s="1"/>
  <c r="E84" i="39" s="1"/>
  <c r="E87" i="39" s="1"/>
  <c r="B29" i="28"/>
  <c r="E14" i="27" s="1"/>
  <c r="F31" i="36"/>
  <c r="C31" i="36"/>
  <c r="B31" i="36"/>
  <c r="D31" i="36" s="1"/>
  <c r="D30" i="36"/>
  <c r="E9" i="37" l="1"/>
  <c r="E14" i="37" s="1"/>
  <c r="E13" i="39" s="1"/>
  <c r="D15" i="10"/>
  <c r="C16" i="10"/>
  <c r="F16" i="10"/>
  <c r="E14" i="15"/>
  <c r="E12" i="39"/>
  <c r="E10" i="39"/>
  <c r="E9" i="39"/>
  <c r="E8" i="39"/>
  <c r="F61" i="33" l="1"/>
  <c r="F56" i="33"/>
  <c r="F45" i="33"/>
  <c r="F52" i="33" s="1"/>
  <c r="F55" i="11"/>
  <c r="F56" i="11" s="1"/>
  <c r="F50" i="36"/>
  <c r="F52" i="36" s="1"/>
  <c r="F38" i="23"/>
  <c r="F40" i="23" s="1"/>
  <c r="F36" i="21"/>
  <c r="F38" i="21" s="1"/>
  <c r="B36" i="21"/>
  <c r="B38" i="21" s="1"/>
  <c r="D35" i="21"/>
  <c r="F35" i="18"/>
  <c r="F37" i="18" s="1"/>
  <c r="B35" i="18"/>
  <c r="B37" i="18" s="1"/>
  <c r="D34" i="18"/>
  <c r="F61" i="11"/>
  <c r="D54" i="11"/>
  <c r="F50" i="11"/>
  <c r="F37" i="10"/>
  <c r="F39" i="10" s="1"/>
  <c r="F64" i="9"/>
  <c r="F60" i="9"/>
  <c r="D58" i="9"/>
  <c r="F48" i="9"/>
  <c r="D46" i="9"/>
  <c r="F34" i="7"/>
  <c r="F36" i="7" s="1"/>
  <c r="F34" i="6"/>
  <c r="F36" i="6" s="1"/>
  <c r="F50" i="5"/>
  <c r="F46" i="5"/>
  <c r="F33" i="4"/>
  <c r="F35" i="4" s="1"/>
  <c r="C61" i="33"/>
  <c r="B61" i="33"/>
  <c r="D60" i="33"/>
  <c r="D59" i="33"/>
  <c r="C56" i="33"/>
  <c r="B56" i="33"/>
  <c r="D55" i="33"/>
  <c r="D46" i="33"/>
  <c r="D47" i="33"/>
  <c r="D48" i="33"/>
  <c r="D49" i="33"/>
  <c r="D50" i="33"/>
  <c r="D51" i="33"/>
  <c r="B52" i="33"/>
  <c r="B67" i="33" s="1"/>
  <c r="I11" i="37" s="1"/>
  <c r="J13" i="37"/>
  <c r="C50" i="36"/>
  <c r="C52" i="36" s="1"/>
  <c r="I41" i="37" s="1"/>
  <c r="J41" i="37" s="1"/>
  <c r="B50" i="36"/>
  <c r="B52" i="36" s="1"/>
  <c r="I9" i="37" s="1"/>
  <c r="D49" i="36"/>
  <c r="D50" i="36" s="1"/>
  <c r="J9" i="31"/>
  <c r="F36" i="30"/>
  <c r="F38" i="30" s="1"/>
  <c r="C34" i="30"/>
  <c r="B34" i="30"/>
  <c r="B36" i="30" s="1"/>
  <c r="I10" i="31" s="1"/>
  <c r="D33" i="30"/>
  <c r="J9" i="27"/>
  <c r="I9" i="27"/>
  <c r="F47" i="28"/>
  <c r="C45" i="28"/>
  <c r="C47" i="28" s="1"/>
  <c r="I47" i="27" s="1"/>
  <c r="B45" i="28"/>
  <c r="B47" i="28" s="1"/>
  <c r="I14" i="27" s="1"/>
  <c r="D44" i="28"/>
  <c r="D45" i="28" s="1"/>
  <c r="C65" i="33"/>
  <c r="B65" i="33"/>
  <c r="D64" i="33"/>
  <c r="C52" i="33"/>
  <c r="D45" i="33"/>
  <c r="C38" i="23"/>
  <c r="C40" i="23" s="1"/>
  <c r="I45" i="27" s="1"/>
  <c r="J45" i="27" s="1"/>
  <c r="B38" i="23"/>
  <c r="B40" i="23" s="1"/>
  <c r="I12" i="27" s="1"/>
  <c r="D37" i="23"/>
  <c r="D38" i="23" s="1"/>
  <c r="C36" i="21"/>
  <c r="C38" i="21" s="1"/>
  <c r="I43" i="27" s="1"/>
  <c r="D34" i="21"/>
  <c r="F36" i="17"/>
  <c r="F36" i="20"/>
  <c r="E34" i="20"/>
  <c r="B38" i="20"/>
  <c r="C34" i="20"/>
  <c r="C36" i="20" s="1"/>
  <c r="B34" i="20"/>
  <c r="B36" i="20" s="1"/>
  <c r="D33" i="20"/>
  <c r="D34" i="20"/>
  <c r="E36" i="20" s="1"/>
  <c r="C35" i="18"/>
  <c r="C37" i="18" s="1"/>
  <c r="I43" i="26" s="1"/>
  <c r="D33" i="18"/>
  <c r="D35" i="18" s="1"/>
  <c r="C36" i="17"/>
  <c r="I42" i="26" s="1"/>
  <c r="C34" i="17"/>
  <c r="B34" i="17"/>
  <c r="B36" i="17" s="1"/>
  <c r="I10" i="26" s="1"/>
  <c r="D33" i="17"/>
  <c r="D34" i="17" s="1"/>
  <c r="D36" i="17" s="1"/>
  <c r="D60" i="11"/>
  <c r="B61" i="11"/>
  <c r="C50" i="11"/>
  <c r="B50" i="11"/>
  <c r="D49" i="11"/>
  <c r="C56" i="11"/>
  <c r="D55" i="11"/>
  <c r="B56" i="11"/>
  <c r="D53" i="11"/>
  <c r="C61" i="11"/>
  <c r="D59" i="11"/>
  <c r="D48" i="11"/>
  <c r="C37" i="10"/>
  <c r="B37" i="10"/>
  <c r="D36" i="10"/>
  <c r="D37" i="10" s="1"/>
  <c r="C33" i="10"/>
  <c r="B33" i="10"/>
  <c r="D32" i="10"/>
  <c r="D30" i="10"/>
  <c r="J9" i="15"/>
  <c r="C64" i="9"/>
  <c r="B64" i="9"/>
  <c r="D63" i="9"/>
  <c r="D57" i="9"/>
  <c r="D59" i="9"/>
  <c r="C60" i="9"/>
  <c r="B60" i="9"/>
  <c r="C53" i="9"/>
  <c r="B53" i="9"/>
  <c r="D52" i="9"/>
  <c r="D51" i="9"/>
  <c r="D47" i="9"/>
  <c r="B48" i="9"/>
  <c r="D56" i="9"/>
  <c r="D45" i="9"/>
  <c r="C34" i="7"/>
  <c r="C36" i="7" s="1"/>
  <c r="I45" i="14" s="1"/>
  <c r="B34" i="7"/>
  <c r="B36" i="7" s="1"/>
  <c r="I12" i="14" s="1"/>
  <c r="D33" i="7"/>
  <c r="E35" i="4"/>
  <c r="E32" i="4"/>
  <c r="C34" i="6"/>
  <c r="C36" i="6" s="1"/>
  <c r="I44" i="14" s="1"/>
  <c r="B34" i="6"/>
  <c r="B36" i="6" s="1"/>
  <c r="I11" i="14" s="1"/>
  <c r="D33" i="6"/>
  <c r="C46" i="5"/>
  <c r="B46" i="5"/>
  <c r="D45" i="5"/>
  <c r="D46" i="5" s="1"/>
  <c r="C50" i="5"/>
  <c r="B50" i="5"/>
  <c r="B52" i="5" s="1"/>
  <c r="I10" i="14" s="1"/>
  <c r="D49" i="5"/>
  <c r="C35" i="4"/>
  <c r="D32" i="4"/>
  <c r="C33" i="4"/>
  <c r="B33" i="4"/>
  <c r="D33" i="4" s="1"/>
  <c r="D35" i="4" s="1"/>
  <c r="F67" i="33" l="1"/>
  <c r="I14" i="37"/>
  <c r="D36" i="21"/>
  <c r="D38" i="21" s="1"/>
  <c r="I12" i="26"/>
  <c r="I10" i="39" s="1"/>
  <c r="I44" i="26"/>
  <c r="I83" i="39" s="1"/>
  <c r="B66" i="9"/>
  <c r="D56" i="33"/>
  <c r="C36" i="30"/>
  <c r="C38" i="30" s="1"/>
  <c r="I42" i="31"/>
  <c r="C67" i="33"/>
  <c r="I43" i="37" s="1"/>
  <c r="I46" i="37" s="1"/>
  <c r="I48" i="27"/>
  <c r="C39" i="10"/>
  <c r="I44" i="15" s="1"/>
  <c r="J44" i="15" s="1"/>
  <c r="C66" i="9"/>
  <c r="I43" i="15" s="1"/>
  <c r="D64" i="9"/>
  <c r="F66" i="9"/>
  <c r="B38" i="30"/>
  <c r="E34" i="17"/>
  <c r="D52" i="36"/>
  <c r="E50" i="36" s="1"/>
  <c r="E52" i="36" s="1"/>
  <c r="B63" i="11"/>
  <c r="C63" i="11"/>
  <c r="I13" i="39"/>
  <c r="F63" i="11"/>
  <c r="D50" i="11"/>
  <c r="B39" i="10"/>
  <c r="I11" i="15" s="1"/>
  <c r="I13" i="14"/>
  <c r="C52" i="5"/>
  <c r="I43" i="14" s="1"/>
  <c r="I11" i="27"/>
  <c r="I15" i="27" s="1"/>
  <c r="I11" i="39" s="1"/>
  <c r="I11" i="26"/>
  <c r="D56" i="11"/>
  <c r="I12" i="15"/>
  <c r="D60" i="9"/>
  <c r="D48" i="9"/>
  <c r="I10" i="15"/>
  <c r="F52" i="5"/>
  <c r="D52" i="33"/>
  <c r="D61" i="33"/>
  <c r="D34" i="30"/>
  <c r="D47" i="28"/>
  <c r="D65" i="33"/>
  <c r="D40" i="23"/>
  <c r="D36" i="20"/>
  <c r="D37" i="18"/>
  <c r="E35" i="18" s="1"/>
  <c r="E37" i="18" s="1"/>
  <c r="D61" i="11"/>
  <c r="D33" i="10"/>
  <c r="D53" i="9"/>
  <c r="D34" i="7"/>
  <c r="D34" i="6"/>
  <c r="B35" i="4"/>
  <c r="D50" i="5"/>
  <c r="F28" i="23"/>
  <c r="F19" i="33"/>
  <c r="F20" i="33"/>
  <c r="F22" i="33"/>
  <c r="D19" i="33"/>
  <c r="D20" i="33"/>
  <c r="B23" i="33"/>
  <c r="B21" i="32"/>
  <c r="D36" i="28"/>
  <c r="D27" i="23"/>
  <c r="D26" i="23"/>
  <c r="B28" i="23"/>
  <c r="F20" i="10"/>
  <c r="B20" i="10"/>
  <c r="D19" i="10"/>
  <c r="F30" i="9"/>
  <c r="B30" i="9"/>
  <c r="F25" i="9"/>
  <c r="B12" i="28"/>
  <c r="B39" i="36"/>
  <c r="B28" i="36"/>
  <c r="B15" i="36"/>
  <c r="B12" i="9"/>
  <c r="D11" i="9"/>
  <c r="F26" i="4"/>
  <c r="I43" i="31" l="1"/>
  <c r="I86" i="39"/>
  <c r="D67" i="33"/>
  <c r="I84" i="39"/>
  <c r="I47" i="15"/>
  <c r="I82" i="39" s="1"/>
  <c r="I46" i="14"/>
  <c r="I14" i="15"/>
  <c r="I9" i="39" s="1"/>
  <c r="D39" i="10"/>
  <c r="E33" i="10" s="1"/>
  <c r="D66" i="9"/>
  <c r="E64" i="9" s="1"/>
  <c r="I8" i="39"/>
  <c r="E38" i="23"/>
  <c r="E40" i="23" s="1"/>
  <c r="E36" i="21"/>
  <c r="E38" i="21" s="1"/>
  <c r="D63" i="11"/>
  <c r="E56" i="11" s="1"/>
  <c r="D36" i="30"/>
  <c r="E45" i="28"/>
  <c r="E47" i="28" s="1"/>
  <c r="D36" i="7"/>
  <c r="E34" i="7" s="1"/>
  <c r="E36" i="7" s="1"/>
  <c r="D36" i="6"/>
  <c r="E34" i="6" s="1"/>
  <c r="E36" i="6" s="1"/>
  <c r="D52" i="5"/>
  <c r="E50" i="5" s="1"/>
  <c r="I9" i="14"/>
  <c r="G13" i="37"/>
  <c r="F13" i="37"/>
  <c r="D13" i="37"/>
  <c r="C13" i="37"/>
  <c r="B13" i="37"/>
  <c r="F10" i="37"/>
  <c r="G9" i="37"/>
  <c r="D9" i="37"/>
  <c r="B9" i="37"/>
  <c r="D26" i="36"/>
  <c r="D27" i="36"/>
  <c r="D38" i="36"/>
  <c r="D14" i="36"/>
  <c r="D11" i="36"/>
  <c r="D12" i="36"/>
  <c r="D13" i="36"/>
  <c r="F39" i="36"/>
  <c r="C39" i="36"/>
  <c r="D36" i="36"/>
  <c r="F34" i="36"/>
  <c r="C34" i="36"/>
  <c r="B34" i="36"/>
  <c r="F9" i="37" s="1"/>
  <c r="D33" i="36"/>
  <c r="F28" i="36"/>
  <c r="D21" i="36"/>
  <c r="D20" i="36"/>
  <c r="F18" i="36"/>
  <c r="C18" i="36"/>
  <c r="B18" i="36"/>
  <c r="D18" i="36" s="1"/>
  <c r="D17" i="36"/>
  <c r="F15" i="36"/>
  <c r="C15" i="36"/>
  <c r="D10" i="36"/>
  <c r="D9" i="36"/>
  <c r="F27" i="35"/>
  <c r="C27" i="35"/>
  <c r="B27" i="35"/>
  <c r="D25" i="35"/>
  <c r="D27" i="35" s="1"/>
  <c r="F23" i="35"/>
  <c r="C23" i="35"/>
  <c r="B23" i="35"/>
  <c r="D23" i="35" s="1"/>
  <c r="D22" i="35"/>
  <c r="F20" i="35"/>
  <c r="C20" i="35"/>
  <c r="B20" i="35"/>
  <c r="D19" i="35"/>
  <c r="D18" i="35"/>
  <c r="D20" i="35" s="1"/>
  <c r="F16" i="35"/>
  <c r="C16" i="35"/>
  <c r="B16" i="35"/>
  <c r="D16" i="35" s="1"/>
  <c r="D15" i="35"/>
  <c r="D14" i="35"/>
  <c r="F12" i="35"/>
  <c r="C12" i="35"/>
  <c r="B12" i="35"/>
  <c r="D11" i="35"/>
  <c r="D10" i="35"/>
  <c r="F31" i="34"/>
  <c r="C31" i="34"/>
  <c r="G44" i="37" s="1"/>
  <c r="B31" i="34"/>
  <c r="G12" i="37" s="1"/>
  <c r="D29" i="34"/>
  <c r="D31" i="34" s="1"/>
  <c r="F27" i="34"/>
  <c r="C27" i="34"/>
  <c r="F44" i="37" s="1"/>
  <c r="B27" i="34"/>
  <c r="D27" i="34" s="1"/>
  <c r="D26" i="34"/>
  <c r="F24" i="34"/>
  <c r="C24" i="34"/>
  <c r="D44" i="37" s="1"/>
  <c r="B24" i="34"/>
  <c r="D12" i="37" s="1"/>
  <c r="D23" i="34"/>
  <c r="D18" i="34"/>
  <c r="F16" i="34"/>
  <c r="C16" i="34"/>
  <c r="B16" i="34"/>
  <c r="D15" i="34"/>
  <c r="D14" i="34"/>
  <c r="F12" i="34"/>
  <c r="C12" i="34"/>
  <c r="B44" i="37" s="1"/>
  <c r="B12" i="34"/>
  <c r="B12" i="37" s="1"/>
  <c r="D11" i="34"/>
  <c r="D10" i="34"/>
  <c r="F30" i="33"/>
  <c r="C30" i="33"/>
  <c r="G43" i="37" s="1"/>
  <c r="B30" i="33"/>
  <c r="G11" i="37" s="1"/>
  <c r="D28" i="33"/>
  <c r="D30" i="33" s="1"/>
  <c r="F26" i="33"/>
  <c r="C26" i="33"/>
  <c r="F43" i="37" s="1"/>
  <c r="F46" i="37" s="1"/>
  <c r="F86" i="39" s="1"/>
  <c r="B26" i="33"/>
  <c r="D25" i="33"/>
  <c r="F23" i="33"/>
  <c r="C23" i="33"/>
  <c r="D43" i="37" s="1"/>
  <c r="D11" i="37"/>
  <c r="D22" i="33"/>
  <c r="D18" i="33"/>
  <c r="F16" i="33"/>
  <c r="C16" i="33"/>
  <c r="C43" i="37" s="1"/>
  <c r="B16" i="33"/>
  <c r="D15" i="33"/>
  <c r="D14" i="33"/>
  <c r="F12" i="33"/>
  <c r="C12" i="33"/>
  <c r="B43" i="37" s="1"/>
  <c r="B12" i="33"/>
  <c r="B11" i="37" s="1"/>
  <c r="D11" i="33"/>
  <c r="D10" i="33"/>
  <c r="F28" i="32"/>
  <c r="C28" i="32"/>
  <c r="G42" i="37" s="1"/>
  <c r="G46" i="37" s="1"/>
  <c r="G86" i="39" s="1"/>
  <c r="B28" i="32"/>
  <c r="G10" i="37" s="1"/>
  <c r="D26" i="32"/>
  <c r="D28" i="32" s="1"/>
  <c r="F24" i="32"/>
  <c r="C24" i="32"/>
  <c r="B24" i="32"/>
  <c r="D23" i="32"/>
  <c r="F21" i="32"/>
  <c r="C21" i="32"/>
  <c r="D42" i="37" s="1"/>
  <c r="D46" i="37" s="1"/>
  <c r="D86" i="39" s="1"/>
  <c r="D10" i="37"/>
  <c r="D20" i="32"/>
  <c r="D18" i="32"/>
  <c r="F16" i="32"/>
  <c r="C16" i="32"/>
  <c r="C42" i="37" s="1"/>
  <c r="B16" i="32"/>
  <c r="D16" i="32" s="1"/>
  <c r="D15" i="32"/>
  <c r="D14" i="32"/>
  <c r="F12" i="32"/>
  <c r="C12" i="32"/>
  <c r="B42" i="37" s="1"/>
  <c r="B12" i="32"/>
  <c r="B10" i="37" s="1"/>
  <c r="D11" i="32"/>
  <c r="D10" i="32"/>
  <c r="C33" i="34" l="1"/>
  <c r="C37" i="34" s="1"/>
  <c r="C44" i="37"/>
  <c r="H44" i="37" s="1"/>
  <c r="J44" i="37" s="1"/>
  <c r="C46" i="37"/>
  <c r="C86" i="39" s="1"/>
  <c r="H43" i="37"/>
  <c r="J43" i="37" s="1"/>
  <c r="H42" i="37"/>
  <c r="B46" i="37"/>
  <c r="B86" i="39" s="1"/>
  <c r="I85" i="39"/>
  <c r="E61" i="33"/>
  <c r="E65" i="33"/>
  <c r="E56" i="33"/>
  <c r="E52" i="33"/>
  <c r="E48" i="9"/>
  <c r="I81" i="39"/>
  <c r="D12" i="35"/>
  <c r="C29" i="35"/>
  <c r="C33" i="35" s="1"/>
  <c r="D12" i="33"/>
  <c r="D28" i="36"/>
  <c r="D16" i="34"/>
  <c r="F12" i="37"/>
  <c r="C12" i="37"/>
  <c r="D21" i="32"/>
  <c r="D24" i="32"/>
  <c r="C10" i="37"/>
  <c r="D39" i="36"/>
  <c r="B41" i="36"/>
  <c r="B54" i="36" s="1"/>
  <c r="D14" i="37"/>
  <c r="D13" i="39" s="1"/>
  <c r="B14" i="37"/>
  <c r="B13" i="39" s="1"/>
  <c r="G14" i="37"/>
  <c r="G13" i="39" s="1"/>
  <c r="E37" i="10"/>
  <c r="E39" i="10" s="1"/>
  <c r="E46" i="5"/>
  <c r="E52" i="5" s="1"/>
  <c r="E50" i="11"/>
  <c r="E61" i="11"/>
  <c r="E60" i="9"/>
  <c r="E53" i="9"/>
  <c r="D16" i="33"/>
  <c r="C11" i="37"/>
  <c r="H11" i="37" s="1"/>
  <c r="J11" i="37" s="1"/>
  <c r="D34" i="36"/>
  <c r="C9" i="37"/>
  <c r="C41" i="36"/>
  <c r="C54" i="36" s="1"/>
  <c r="E34" i="30"/>
  <c r="E36" i="30" s="1"/>
  <c r="D15" i="36"/>
  <c r="F41" i="36"/>
  <c r="F54" i="36" s="1"/>
  <c r="C32" i="33"/>
  <c r="C69" i="33" s="1"/>
  <c r="D26" i="33"/>
  <c r="F11" i="37"/>
  <c r="F14" i="37" s="1"/>
  <c r="F13" i="39" s="1"/>
  <c r="F29" i="35"/>
  <c r="F33" i="35" s="1"/>
  <c r="F33" i="34"/>
  <c r="F37" i="34" s="1"/>
  <c r="D23" i="33"/>
  <c r="F32" i="33"/>
  <c r="F69" i="33" s="1"/>
  <c r="C30" i="32"/>
  <c r="C34" i="32" s="1"/>
  <c r="F30" i="32"/>
  <c r="F34" i="32" s="1"/>
  <c r="H13" i="37"/>
  <c r="H12" i="37"/>
  <c r="J12" i="37" s="1"/>
  <c r="H10" i="37"/>
  <c r="J10" i="37" s="1"/>
  <c r="H9" i="37"/>
  <c r="B29" i="35"/>
  <c r="D29" i="35" s="1"/>
  <c r="D24" i="34"/>
  <c r="D12" i="34"/>
  <c r="B33" i="34"/>
  <c r="D33" i="34" s="1"/>
  <c r="B32" i="33"/>
  <c r="B69" i="33" s="1"/>
  <c r="D12" i="32"/>
  <c r="B30" i="32"/>
  <c r="F9" i="31"/>
  <c r="D9" i="31"/>
  <c r="C9" i="31"/>
  <c r="I11" i="31"/>
  <c r="E11" i="31"/>
  <c r="B20" i="30"/>
  <c r="D10" i="31" s="1"/>
  <c r="F27" i="30"/>
  <c r="C27" i="30"/>
  <c r="G42" i="31" s="1"/>
  <c r="G43" i="31" s="1"/>
  <c r="G85" i="39" s="1"/>
  <c r="F23" i="30"/>
  <c r="C23" i="30"/>
  <c r="F42" i="31" s="1"/>
  <c r="F43" i="31" s="1"/>
  <c r="F85" i="39" s="1"/>
  <c r="B23" i="30"/>
  <c r="F10" i="31" s="1"/>
  <c r="D22" i="30"/>
  <c r="F20" i="30"/>
  <c r="C20" i="30"/>
  <c r="D42" i="31" s="1"/>
  <c r="D43" i="31" s="1"/>
  <c r="D85" i="39" s="1"/>
  <c r="D19" i="30"/>
  <c r="F16" i="30"/>
  <c r="C16" i="30"/>
  <c r="C42" i="31" s="1"/>
  <c r="C43" i="31" s="1"/>
  <c r="C85" i="39" s="1"/>
  <c r="B16" i="30"/>
  <c r="D15" i="30"/>
  <c r="D14" i="30"/>
  <c r="F12" i="30"/>
  <c r="C12" i="30"/>
  <c r="B42" i="31" s="1"/>
  <c r="D11" i="30"/>
  <c r="D25" i="30"/>
  <c r="D27" i="30" s="1"/>
  <c r="D11" i="29"/>
  <c r="F27" i="29"/>
  <c r="C27" i="29"/>
  <c r="F23" i="29"/>
  <c r="D23" i="29"/>
  <c r="C23" i="29"/>
  <c r="B23" i="29"/>
  <c r="D22" i="29"/>
  <c r="F20" i="29"/>
  <c r="C20" i="29"/>
  <c r="B20" i="29"/>
  <c r="D19" i="29"/>
  <c r="D18" i="29"/>
  <c r="D20" i="29" s="1"/>
  <c r="F16" i="29"/>
  <c r="C16" i="29"/>
  <c r="B16" i="29"/>
  <c r="D16" i="29" s="1"/>
  <c r="D15" i="29"/>
  <c r="D14" i="29"/>
  <c r="F12" i="29"/>
  <c r="C12" i="29"/>
  <c r="F12" i="27"/>
  <c r="D35" i="28"/>
  <c r="B16" i="28"/>
  <c r="D11" i="28"/>
  <c r="B14" i="27"/>
  <c r="F37" i="28"/>
  <c r="C37" i="28"/>
  <c r="G47" i="27" s="1"/>
  <c r="F33" i="28"/>
  <c r="C33" i="28"/>
  <c r="F47" i="27" s="1"/>
  <c r="B33" i="28"/>
  <c r="D32" i="28"/>
  <c r="D31" i="28"/>
  <c r="F26" i="28"/>
  <c r="C26" i="28"/>
  <c r="D47" i="27" s="1"/>
  <c r="D25" i="28"/>
  <c r="D23" i="28"/>
  <c r="F16" i="28"/>
  <c r="C16" i="28"/>
  <c r="C47" i="27" s="1"/>
  <c r="D15" i="28"/>
  <c r="F12" i="28"/>
  <c r="C12" i="28"/>
  <c r="B47" i="27" s="1"/>
  <c r="G9" i="26"/>
  <c r="F9" i="26"/>
  <c r="E9" i="26"/>
  <c r="C9" i="26"/>
  <c r="B9" i="26"/>
  <c r="H86" i="39" l="1"/>
  <c r="J86" i="39" s="1"/>
  <c r="J42" i="37"/>
  <c r="H46" i="37"/>
  <c r="J46" i="37" s="1"/>
  <c r="H42" i="31"/>
  <c r="B43" i="31"/>
  <c r="B85" i="39" s="1"/>
  <c r="H85" i="39" s="1"/>
  <c r="J85" i="39"/>
  <c r="H47" i="27"/>
  <c r="J47" i="27" s="1"/>
  <c r="E67" i="33"/>
  <c r="E66" i="9"/>
  <c r="I87" i="39"/>
  <c r="F29" i="29"/>
  <c r="F33" i="29" s="1"/>
  <c r="C29" i="29"/>
  <c r="C33" i="29" s="1"/>
  <c r="C14" i="37"/>
  <c r="C13" i="39" s="1"/>
  <c r="H13" i="39" s="1"/>
  <c r="J13" i="39" s="1"/>
  <c r="D16" i="30"/>
  <c r="I12" i="39"/>
  <c r="I14" i="39" s="1"/>
  <c r="D33" i="28"/>
  <c r="F39" i="28"/>
  <c r="F50" i="28" s="1"/>
  <c r="C39" i="28"/>
  <c r="C50" i="28" s="1"/>
  <c r="D37" i="28"/>
  <c r="H14" i="37"/>
  <c r="J14" i="37" s="1"/>
  <c r="J9" i="37"/>
  <c r="C29" i="30"/>
  <c r="D23" i="30"/>
  <c r="C10" i="31"/>
  <c r="C11" i="31" s="1"/>
  <c r="C12" i="39" s="1"/>
  <c r="D38" i="30"/>
  <c r="F14" i="27"/>
  <c r="D30" i="32"/>
  <c r="D34" i="32" s="1"/>
  <c r="F29" i="30"/>
  <c r="D41" i="36"/>
  <c r="B33" i="35"/>
  <c r="D33" i="35"/>
  <c r="E27" i="35"/>
  <c r="E23" i="35"/>
  <c r="E12" i="35"/>
  <c r="E20" i="35"/>
  <c r="E16" i="35"/>
  <c r="B37" i="34"/>
  <c r="D37" i="34"/>
  <c r="E31" i="34"/>
  <c r="E27" i="34"/>
  <c r="E12" i="34"/>
  <c r="E24" i="34"/>
  <c r="E16" i="34"/>
  <c r="D32" i="33"/>
  <c r="D69" i="33" s="1"/>
  <c r="B34" i="32"/>
  <c r="D11" i="31"/>
  <c r="D12" i="39" s="1"/>
  <c r="F11" i="31"/>
  <c r="F12" i="39" s="1"/>
  <c r="D18" i="30"/>
  <c r="D20" i="30" s="1"/>
  <c r="B12" i="30"/>
  <c r="B10" i="31" s="1"/>
  <c r="B11" i="31" s="1"/>
  <c r="B12" i="39" s="1"/>
  <c r="D10" i="30"/>
  <c r="D12" i="30" s="1"/>
  <c r="B12" i="29"/>
  <c r="B9" i="31" s="1"/>
  <c r="B27" i="30"/>
  <c r="D10" i="29"/>
  <c r="D12" i="29" s="1"/>
  <c r="D16" i="28"/>
  <c r="C14" i="27"/>
  <c r="D18" i="28"/>
  <c r="D26" i="28" s="1"/>
  <c r="B26" i="28"/>
  <c r="B37" i="28"/>
  <c r="G14" i="27" s="1"/>
  <c r="D10" i="28"/>
  <c r="D12" i="28" s="1"/>
  <c r="D14" i="28"/>
  <c r="F11" i="15"/>
  <c r="B10" i="15"/>
  <c r="E15" i="27"/>
  <c r="E11" i="39" s="1"/>
  <c r="E14" i="39" s="1"/>
  <c r="E12" i="26"/>
  <c r="F29" i="25"/>
  <c r="C29" i="25"/>
  <c r="B29" i="25"/>
  <c r="G13" i="27" s="1"/>
  <c r="D27" i="25"/>
  <c r="D29" i="25" s="1"/>
  <c r="F25" i="25"/>
  <c r="C25" i="25"/>
  <c r="B25" i="25"/>
  <c r="D24" i="25"/>
  <c r="D23" i="25"/>
  <c r="F21" i="25"/>
  <c r="C21" i="25"/>
  <c r="B21" i="25"/>
  <c r="D13" i="27" s="1"/>
  <c r="D20" i="25"/>
  <c r="D19" i="25"/>
  <c r="D18" i="25"/>
  <c r="F16" i="25"/>
  <c r="C16" i="25"/>
  <c r="B16" i="25"/>
  <c r="D15" i="25"/>
  <c r="D14" i="25"/>
  <c r="F12" i="25"/>
  <c r="C12" i="25"/>
  <c r="B12" i="25"/>
  <c r="B13" i="27" s="1"/>
  <c r="D11" i="25"/>
  <c r="D10" i="25"/>
  <c r="D22" i="23"/>
  <c r="B23" i="23"/>
  <c r="D12" i="27" s="1"/>
  <c r="F31" i="23"/>
  <c r="C31" i="23"/>
  <c r="B31" i="23"/>
  <c r="G12" i="27" s="1"/>
  <c r="D30" i="23"/>
  <c r="D31" i="23" s="1"/>
  <c r="C28" i="23"/>
  <c r="D28" i="23" s="1"/>
  <c r="D25" i="23"/>
  <c r="D21" i="23"/>
  <c r="D17" i="23"/>
  <c r="F15" i="23"/>
  <c r="C15" i="23"/>
  <c r="B15" i="23"/>
  <c r="C12" i="27" s="1"/>
  <c r="D14" i="23"/>
  <c r="D13" i="23"/>
  <c r="F11" i="23"/>
  <c r="C11" i="23"/>
  <c r="B11" i="23"/>
  <c r="B12" i="27" s="1"/>
  <c r="D10" i="23"/>
  <c r="D9" i="23"/>
  <c r="F27" i="22"/>
  <c r="C27" i="22"/>
  <c r="G44" i="27" s="1"/>
  <c r="B27" i="22"/>
  <c r="G11" i="27" s="1"/>
  <c r="D25" i="22"/>
  <c r="D27" i="22" s="1"/>
  <c r="F23" i="22"/>
  <c r="C23" i="22"/>
  <c r="F44" i="27" s="1"/>
  <c r="B23" i="22"/>
  <c r="D22" i="22"/>
  <c r="F20" i="22"/>
  <c r="C20" i="22"/>
  <c r="D44" i="27" s="1"/>
  <c r="B20" i="22"/>
  <c r="D11" i="27" s="1"/>
  <c r="D19" i="22"/>
  <c r="D18" i="22"/>
  <c r="F16" i="22"/>
  <c r="C16" i="22"/>
  <c r="C44" i="27" s="1"/>
  <c r="B16" i="22"/>
  <c r="D15" i="22"/>
  <c r="D14" i="22"/>
  <c r="F12" i="22"/>
  <c r="C12" i="22"/>
  <c r="B44" i="27" s="1"/>
  <c r="B12" i="22"/>
  <c r="B11" i="27" s="1"/>
  <c r="D11" i="22"/>
  <c r="D10" i="22"/>
  <c r="F28" i="21"/>
  <c r="C28" i="21"/>
  <c r="G43" i="27" s="1"/>
  <c r="G48" i="27" s="1"/>
  <c r="G84" i="39" s="1"/>
  <c r="B28" i="21"/>
  <c r="G10" i="27" s="1"/>
  <c r="D26" i="21"/>
  <c r="D28" i="21" s="1"/>
  <c r="F24" i="21"/>
  <c r="C24" i="21"/>
  <c r="F43" i="27" s="1"/>
  <c r="F48" i="27" s="1"/>
  <c r="F84" i="39" s="1"/>
  <c r="B24" i="21"/>
  <c r="D23" i="21"/>
  <c r="F21" i="21"/>
  <c r="C21" i="21"/>
  <c r="D43" i="27" s="1"/>
  <c r="B21" i="21"/>
  <c r="D10" i="27" s="1"/>
  <c r="D20" i="21"/>
  <c r="D18" i="21"/>
  <c r="F16" i="21"/>
  <c r="C16" i="21"/>
  <c r="C43" i="27" s="1"/>
  <c r="B16" i="21"/>
  <c r="D15" i="21"/>
  <c r="D14" i="21"/>
  <c r="F12" i="21"/>
  <c r="C12" i="21"/>
  <c r="B43" i="27" s="1"/>
  <c r="B12" i="21"/>
  <c r="B10" i="27" s="1"/>
  <c r="D11" i="21"/>
  <c r="D10" i="21"/>
  <c r="F27" i="20"/>
  <c r="C27" i="20"/>
  <c r="B27" i="20"/>
  <c r="G9" i="27" s="1"/>
  <c r="D25" i="20"/>
  <c r="D27" i="20" s="1"/>
  <c r="F23" i="20"/>
  <c r="C23" i="20"/>
  <c r="B23" i="20"/>
  <c r="D22" i="20"/>
  <c r="F20" i="20"/>
  <c r="C20" i="20"/>
  <c r="B20" i="20"/>
  <c r="D9" i="27" s="1"/>
  <c r="D19" i="20"/>
  <c r="D18" i="20"/>
  <c r="F16" i="20"/>
  <c r="C16" i="20"/>
  <c r="B16" i="20"/>
  <c r="D15" i="20"/>
  <c r="D14" i="20"/>
  <c r="F12" i="20"/>
  <c r="C12" i="20"/>
  <c r="B12" i="20"/>
  <c r="B9" i="27" s="1"/>
  <c r="D11" i="20"/>
  <c r="D10" i="20"/>
  <c r="F27" i="18"/>
  <c r="C27" i="18"/>
  <c r="G43" i="26" s="1"/>
  <c r="B27" i="18"/>
  <c r="G11" i="26" s="1"/>
  <c r="D25" i="18"/>
  <c r="D27" i="18" s="1"/>
  <c r="F23" i="18"/>
  <c r="C23" i="18"/>
  <c r="F43" i="26" s="1"/>
  <c r="B23" i="18"/>
  <c r="D22" i="18"/>
  <c r="F20" i="18"/>
  <c r="C20" i="18"/>
  <c r="D43" i="26" s="1"/>
  <c r="B20" i="18"/>
  <c r="D11" i="26" s="1"/>
  <c r="D19" i="18"/>
  <c r="D18" i="18"/>
  <c r="F16" i="18"/>
  <c r="C16" i="18"/>
  <c r="C43" i="26" s="1"/>
  <c r="B16" i="18"/>
  <c r="D15" i="18"/>
  <c r="D14" i="18"/>
  <c r="F12" i="18"/>
  <c r="C12" i="18"/>
  <c r="B43" i="26" s="1"/>
  <c r="B12" i="18"/>
  <c r="B11" i="26" s="1"/>
  <c r="D11" i="18"/>
  <c r="D10" i="18"/>
  <c r="F27" i="17"/>
  <c r="C27" i="17"/>
  <c r="G42" i="26" s="1"/>
  <c r="B27" i="17"/>
  <c r="G10" i="26" s="1"/>
  <c r="D25" i="17"/>
  <c r="D27" i="17" s="1"/>
  <c r="F23" i="17"/>
  <c r="C23" i="17"/>
  <c r="F42" i="26" s="1"/>
  <c r="B23" i="17"/>
  <c r="D22" i="17"/>
  <c r="F20" i="17"/>
  <c r="C20" i="17"/>
  <c r="D42" i="26" s="1"/>
  <c r="B20" i="17"/>
  <c r="D19" i="17"/>
  <c r="D18" i="17"/>
  <c r="F16" i="17"/>
  <c r="C16" i="17"/>
  <c r="C42" i="26" s="1"/>
  <c r="C44" i="26" s="1"/>
  <c r="C83" i="39" s="1"/>
  <c r="B16" i="17"/>
  <c r="D15" i="17"/>
  <c r="D14" i="17"/>
  <c r="F12" i="17"/>
  <c r="C12" i="17"/>
  <c r="B42" i="26" s="1"/>
  <c r="B12" i="17"/>
  <c r="B10" i="26" s="1"/>
  <c r="B12" i="26" s="1"/>
  <c r="B10" i="39" s="1"/>
  <c r="D11" i="17"/>
  <c r="D10" i="17"/>
  <c r="F27" i="16"/>
  <c r="C27" i="16"/>
  <c r="B27" i="16"/>
  <c r="D25" i="16"/>
  <c r="D27" i="16" s="1"/>
  <c r="F23" i="16"/>
  <c r="C23" i="16"/>
  <c r="B23" i="16"/>
  <c r="D23" i="16" s="1"/>
  <c r="D22" i="16"/>
  <c r="F20" i="16"/>
  <c r="C20" i="16"/>
  <c r="B20" i="16"/>
  <c r="D9" i="26" s="1"/>
  <c r="H9" i="26" s="1"/>
  <c r="D19" i="16"/>
  <c r="D18" i="16"/>
  <c r="F16" i="16"/>
  <c r="C16" i="16"/>
  <c r="B16" i="16"/>
  <c r="B29" i="16" s="1"/>
  <c r="D15" i="16"/>
  <c r="D14" i="16"/>
  <c r="F12" i="16"/>
  <c r="C12" i="16"/>
  <c r="B12" i="16"/>
  <c r="D11" i="16"/>
  <c r="D10" i="16"/>
  <c r="H43" i="31" l="1"/>
  <c r="J43" i="31" s="1"/>
  <c r="J42" i="31"/>
  <c r="C48" i="27"/>
  <c r="C84" i="39" s="1"/>
  <c r="H44" i="27"/>
  <c r="J44" i="27" s="1"/>
  <c r="H43" i="27"/>
  <c r="B48" i="27"/>
  <c r="B84" i="39" s="1"/>
  <c r="D16" i="18"/>
  <c r="C11" i="26"/>
  <c r="D44" i="26"/>
  <c r="D83" i="39" s="1"/>
  <c r="F44" i="26"/>
  <c r="F83" i="39" s="1"/>
  <c r="D20" i="18"/>
  <c r="D23" i="18"/>
  <c r="F11" i="26"/>
  <c r="B44" i="26"/>
  <c r="B83" i="39" s="1"/>
  <c r="H42" i="26"/>
  <c r="J42" i="26" s="1"/>
  <c r="C29" i="18"/>
  <c r="C39" i="18" s="1"/>
  <c r="H43" i="26"/>
  <c r="G44" i="26"/>
  <c r="G83" i="39" s="1"/>
  <c r="C29" i="16"/>
  <c r="C33" i="16" s="1"/>
  <c r="D12" i="25"/>
  <c r="C31" i="25"/>
  <c r="C35" i="25" s="1"/>
  <c r="D25" i="25"/>
  <c r="F13" i="27"/>
  <c r="D16" i="25"/>
  <c r="C13" i="27"/>
  <c r="H13" i="27" s="1"/>
  <c r="J13" i="27" s="1"/>
  <c r="D16" i="22"/>
  <c r="C11" i="27"/>
  <c r="D12" i="22"/>
  <c r="C29" i="22"/>
  <c r="C33" i="22" s="1"/>
  <c r="D20" i="22"/>
  <c r="D23" i="22"/>
  <c r="F11" i="27"/>
  <c r="B15" i="27"/>
  <c r="B11" i="39" s="1"/>
  <c r="D11" i="23"/>
  <c r="C33" i="23"/>
  <c r="C42" i="23" s="1"/>
  <c r="D23" i="23"/>
  <c r="H11" i="26"/>
  <c r="J11" i="26" s="1"/>
  <c r="G12" i="26"/>
  <c r="G10" i="39" s="1"/>
  <c r="F29" i="22"/>
  <c r="F33" i="22" s="1"/>
  <c r="D20" i="16"/>
  <c r="J9" i="26"/>
  <c r="D54" i="36"/>
  <c r="E31" i="36"/>
  <c r="D39" i="28"/>
  <c r="E29" i="28" s="1"/>
  <c r="D14" i="27"/>
  <c r="D15" i="27" s="1"/>
  <c r="D11" i="39" s="1"/>
  <c r="B39" i="28"/>
  <c r="B50" i="28" s="1"/>
  <c r="E18" i="36"/>
  <c r="H12" i="27"/>
  <c r="E30" i="33"/>
  <c r="E39" i="36"/>
  <c r="D16" i="21"/>
  <c r="C10" i="27"/>
  <c r="D12" i="21"/>
  <c r="C30" i="21"/>
  <c r="C40" i="21" s="1"/>
  <c r="D21" i="21"/>
  <c r="D24" i="21"/>
  <c r="F10" i="27"/>
  <c r="D16" i="20"/>
  <c r="C9" i="27"/>
  <c r="D12" i="20"/>
  <c r="C29" i="20"/>
  <c r="C38" i="20" s="1"/>
  <c r="D20" i="20"/>
  <c r="D23" i="20"/>
  <c r="F9" i="27"/>
  <c r="D16" i="17"/>
  <c r="C10" i="26"/>
  <c r="D12" i="17"/>
  <c r="C29" i="17"/>
  <c r="C39" i="17" s="1"/>
  <c r="D20" i="17"/>
  <c r="D10" i="26"/>
  <c r="D23" i="17"/>
  <c r="F10" i="26"/>
  <c r="E26" i="33"/>
  <c r="E12" i="32"/>
  <c r="E16" i="32"/>
  <c r="E28" i="32"/>
  <c r="E21" i="32"/>
  <c r="E24" i="32"/>
  <c r="F31" i="25"/>
  <c r="F35" i="25" s="1"/>
  <c r="F30" i="21"/>
  <c r="F40" i="21" s="1"/>
  <c r="F29" i="20"/>
  <c r="F38" i="20" s="1"/>
  <c r="F29" i="18"/>
  <c r="F39" i="18" s="1"/>
  <c r="F29" i="17"/>
  <c r="F39" i="17" s="1"/>
  <c r="F29" i="16"/>
  <c r="F33" i="16" s="1"/>
  <c r="E28" i="36"/>
  <c r="E34" i="36"/>
  <c r="E15" i="36"/>
  <c r="E29" i="35"/>
  <c r="E33" i="35" s="1"/>
  <c r="E33" i="34"/>
  <c r="E37" i="34" s="1"/>
  <c r="E16" i="33"/>
  <c r="E23" i="33"/>
  <c r="E12" i="33"/>
  <c r="B29" i="30"/>
  <c r="G10" i="31"/>
  <c r="B27" i="29"/>
  <c r="D25" i="29"/>
  <c r="D27" i="29" s="1"/>
  <c r="D29" i="30"/>
  <c r="G15" i="27"/>
  <c r="G11" i="39" s="1"/>
  <c r="H10" i="27"/>
  <c r="J10" i="27" s="1"/>
  <c r="C12" i="26"/>
  <c r="C10" i="39" s="1"/>
  <c r="H9" i="27"/>
  <c r="D21" i="25"/>
  <c r="B31" i="25"/>
  <c r="B35" i="25" s="1"/>
  <c r="D15" i="23"/>
  <c r="F33" i="23"/>
  <c r="F42" i="23" s="1"/>
  <c r="B33" i="23"/>
  <c r="B29" i="22"/>
  <c r="D29" i="22" s="1"/>
  <c r="E27" i="22" s="1"/>
  <c r="B30" i="21"/>
  <c r="B29" i="20"/>
  <c r="D12" i="18"/>
  <c r="B29" i="18"/>
  <c r="B39" i="18" s="1"/>
  <c r="B29" i="17"/>
  <c r="D12" i="16"/>
  <c r="B33" i="16"/>
  <c r="D16" i="16"/>
  <c r="G9" i="15"/>
  <c r="F9" i="15"/>
  <c r="D9" i="15"/>
  <c r="C9" i="15"/>
  <c r="B9" i="15"/>
  <c r="D9" i="14"/>
  <c r="E13" i="14"/>
  <c r="D16" i="12"/>
  <c r="B17" i="12"/>
  <c r="C13" i="15" s="1"/>
  <c r="F31" i="12"/>
  <c r="C31" i="12"/>
  <c r="G46" i="15" s="1"/>
  <c r="B31" i="12"/>
  <c r="G13" i="15" s="1"/>
  <c r="D30" i="12"/>
  <c r="D29" i="12"/>
  <c r="D31" i="12" s="1"/>
  <c r="F27" i="12"/>
  <c r="C27" i="12"/>
  <c r="F46" i="15" s="1"/>
  <c r="B27" i="12"/>
  <c r="D25" i="12"/>
  <c r="F23" i="12"/>
  <c r="C23" i="12"/>
  <c r="D46" i="15" s="1"/>
  <c r="B23" i="12"/>
  <c r="D13" i="15" s="1"/>
  <c r="D22" i="12"/>
  <c r="D21" i="12"/>
  <c r="D20" i="12"/>
  <c r="D19" i="12"/>
  <c r="F17" i="12"/>
  <c r="C17" i="12"/>
  <c r="C46" i="15" s="1"/>
  <c r="D15" i="12"/>
  <c r="D14" i="12"/>
  <c r="F12" i="12"/>
  <c r="C12" i="12"/>
  <c r="B46" i="15" s="1"/>
  <c r="H46" i="15" s="1"/>
  <c r="J46" i="15" s="1"/>
  <c r="B12" i="12"/>
  <c r="B13" i="15" s="1"/>
  <c r="D11" i="12"/>
  <c r="D10" i="12"/>
  <c r="F32" i="11"/>
  <c r="C32" i="11"/>
  <c r="B32" i="11"/>
  <c r="G12" i="15" s="1"/>
  <c r="D31" i="11"/>
  <c r="D30" i="11"/>
  <c r="F28" i="11"/>
  <c r="C28" i="11"/>
  <c r="B28" i="11"/>
  <c r="D26" i="11"/>
  <c r="F24" i="11"/>
  <c r="B24" i="11"/>
  <c r="D12" i="15" s="1"/>
  <c r="D23" i="11"/>
  <c r="D21" i="11"/>
  <c r="D17" i="11"/>
  <c r="F15" i="11"/>
  <c r="C15" i="11"/>
  <c r="B15" i="11"/>
  <c r="D14" i="11"/>
  <c r="D13" i="11"/>
  <c r="F11" i="11"/>
  <c r="C11" i="11"/>
  <c r="B11" i="11"/>
  <c r="B12" i="15" s="1"/>
  <c r="D10" i="11"/>
  <c r="D9" i="11"/>
  <c r="F24" i="10"/>
  <c r="C24" i="10"/>
  <c r="B24" i="10"/>
  <c r="G11" i="15" s="1"/>
  <c r="D23" i="10"/>
  <c r="D22" i="10"/>
  <c r="C20" i="10"/>
  <c r="D18" i="10"/>
  <c r="B16" i="10"/>
  <c r="F13" i="10"/>
  <c r="C13" i="10"/>
  <c r="B13" i="10"/>
  <c r="D12" i="10"/>
  <c r="F10" i="10"/>
  <c r="C10" i="10"/>
  <c r="B10" i="10"/>
  <c r="B11" i="15" s="1"/>
  <c r="D9" i="10"/>
  <c r="D29" i="5"/>
  <c r="D28" i="5"/>
  <c r="D33" i="9"/>
  <c r="D24" i="9"/>
  <c r="D21" i="9"/>
  <c r="B19" i="9"/>
  <c r="B25" i="9" s="1"/>
  <c r="D10" i="15" s="1"/>
  <c r="F34" i="9"/>
  <c r="C34" i="9"/>
  <c r="B34" i="9"/>
  <c r="D32" i="9"/>
  <c r="C30" i="9"/>
  <c r="D29" i="9"/>
  <c r="C25" i="9"/>
  <c r="D43" i="15" s="1"/>
  <c r="D47" i="15" s="1"/>
  <c r="D82" i="39" s="1"/>
  <c r="D20" i="9"/>
  <c r="F16" i="9"/>
  <c r="C16" i="9"/>
  <c r="C43" i="15" s="1"/>
  <c r="C47" i="15" s="1"/>
  <c r="C82" i="39" s="1"/>
  <c r="B16" i="9"/>
  <c r="D15" i="9"/>
  <c r="D14" i="9"/>
  <c r="F12" i="9"/>
  <c r="C12" i="9"/>
  <c r="B43" i="15" s="1"/>
  <c r="D10" i="9"/>
  <c r="D9" i="9"/>
  <c r="F27" i="8"/>
  <c r="C27" i="8"/>
  <c r="B27" i="8"/>
  <c r="B29" i="8" s="1"/>
  <c r="D25" i="8"/>
  <c r="D27" i="8" s="1"/>
  <c r="F23" i="8"/>
  <c r="C23" i="8"/>
  <c r="B23" i="8"/>
  <c r="D23" i="8" s="1"/>
  <c r="D22" i="8"/>
  <c r="F20" i="8"/>
  <c r="C20" i="8"/>
  <c r="B20" i="8"/>
  <c r="D19" i="8"/>
  <c r="D18" i="8"/>
  <c r="D20" i="8" s="1"/>
  <c r="F16" i="8"/>
  <c r="C16" i="8"/>
  <c r="B16" i="8"/>
  <c r="D16" i="8" s="1"/>
  <c r="D15" i="8"/>
  <c r="D14" i="8"/>
  <c r="F12" i="8"/>
  <c r="C12" i="8"/>
  <c r="B12" i="8"/>
  <c r="D11" i="8"/>
  <c r="D10" i="8"/>
  <c r="F27" i="7"/>
  <c r="C27" i="7"/>
  <c r="G45" i="14" s="1"/>
  <c r="B27" i="7"/>
  <c r="G12" i="14" s="1"/>
  <c r="D25" i="7"/>
  <c r="D27" i="7" s="1"/>
  <c r="F23" i="7"/>
  <c r="C23" i="7"/>
  <c r="F45" i="14" s="1"/>
  <c r="B23" i="7"/>
  <c r="D23" i="7" s="1"/>
  <c r="D22" i="7"/>
  <c r="F20" i="7"/>
  <c r="C20" i="7"/>
  <c r="D45" i="14" s="1"/>
  <c r="B20" i="7"/>
  <c r="D12" i="14" s="1"/>
  <c r="D19" i="7"/>
  <c r="D18" i="7"/>
  <c r="D20" i="7" s="1"/>
  <c r="F16" i="7"/>
  <c r="C16" i="7"/>
  <c r="B16" i="7"/>
  <c r="D15" i="7"/>
  <c r="D14" i="7"/>
  <c r="F12" i="7"/>
  <c r="C12" i="7"/>
  <c r="B45" i="14" s="1"/>
  <c r="B12" i="7"/>
  <c r="B12" i="14" s="1"/>
  <c r="D11" i="7"/>
  <c r="D10" i="7"/>
  <c r="F27" i="6"/>
  <c r="C27" i="6"/>
  <c r="G44" i="14" s="1"/>
  <c r="B27" i="6"/>
  <c r="G11" i="14" s="1"/>
  <c r="D25" i="6"/>
  <c r="D27" i="6" s="1"/>
  <c r="F23" i="6"/>
  <c r="C23" i="6"/>
  <c r="F44" i="14" s="1"/>
  <c r="B23" i="6"/>
  <c r="D23" i="6" s="1"/>
  <c r="D22" i="6"/>
  <c r="F20" i="6"/>
  <c r="C20" i="6"/>
  <c r="D44" i="14" s="1"/>
  <c r="B20" i="6"/>
  <c r="D11" i="14" s="1"/>
  <c r="D19" i="6"/>
  <c r="D18" i="6"/>
  <c r="D20" i="6" s="1"/>
  <c r="F16" i="6"/>
  <c r="C16" i="6"/>
  <c r="B16" i="6"/>
  <c r="D15" i="6"/>
  <c r="D14" i="6"/>
  <c r="F12" i="6"/>
  <c r="C12" i="6"/>
  <c r="B44" i="14" s="1"/>
  <c r="B12" i="6"/>
  <c r="B11" i="14" s="1"/>
  <c r="D11" i="6"/>
  <c r="D10" i="6"/>
  <c r="F30" i="5"/>
  <c r="C30" i="5"/>
  <c r="B30" i="5"/>
  <c r="G10" i="14" s="1"/>
  <c r="F26" i="5"/>
  <c r="C26" i="5"/>
  <c r="F43" i="14" s="1"/>
  <c r="F46" i="14" s="1"/>
  <c r="F81" i="39" s="1"/>
  <c r="B26" i="5"/>
  <c r="D25" i="5"/>
  <c r="F23" i="5"/>
  <c r="C23" i="5"/>
  <c r="D43" i="14" s="1"/>
  <c r="D46" i="14" s="1"/>
  <c r="D81" i="39" s="1"/>
  <c r="B23" i="5"/>
  <c r="D10" i="14" s="1"/>
  <c r="D22" i="5"/>
  <c r="D17" i="5"/>
  <c r="D23" i="5" s="1"/>
  <c r="F15" i="5"/>
  <c r="C15" i="5"/>
  <c r="B15" i="5"/>
  <c r="C10" i="14" s="1"/>
  <c r="D14" i="5"/>
  <c r="D13" i="5"/>
  <c r="F11" i="5"/>
  <c r="C11" i="5"/>
  <c r="B43" i="14" s="1"/>
  <c r="B11" i="5"/>
  <c r="B10" i="14" s="1"/>
  <c r="D10" i="5"/>
  <c r="D9" i="5"/>
  <c r="D11" i="5" s="1"/>
  <c r="F12" i="4"/>
  <c r="D11" i="4"/>
  <c r="C12" i="4"/>
  <c r="B12" i="4"/>
  <c r="B16" i="4"/>
  <c r="C9" i="14" s="1"/>
  <c r="C26" i="4"/>
  <c r="B26" i="4"/>
  <c r="D25" i="4"/>
  <c r="F23" i="4"/>
  <c r="C23" i="4"/>
  <c r="B23" i="4"/>
  <c r="D23" i="4" s="1"/>
  <c r="D22" i="4"/>
  <c r="F20" i="4"/>
  <c r="C20" i="4"/>
  <c r="D19" i="4"/>
  <c r="B20" i="4"/>
  <c r="F16" i="4"/>
  <c r="C16" i="4"/>
  <c r="D15" i="4"/>
  <c r="D14" i="4"/>
  <c r="D10" i="4"/>
  <c r="H11" i="27" l="1"/>
  <c r="J11" i="27" s="1"/>
  <c r="H48" i="27"/>
  <c r="J48" i="27" s="1"/>
  <c r="J43" i="27"/>
  <c r="D48" i="27" s="1"/>
  <c r="D84" i="39" s="1"/>
  <c r="H84" i="39" s="1"/>
  <c r="J84" i="39" s="1"/>
  <c r="F12" i="26"/>
  <c r="F10" i="39" s="1"/>
  <c r="H83" i="39"/>
  <c r="J83" i="39" s="1"/>
  <c r="D27" i="12"/>
  <c r="F13" i="15"/>
  <c r="H13" i="15" s="1"/>
  <c r="J13" i="15" s="1"/>
  <c r="D12" i="12"/>
  <c r="D19" i="9"/>
  <c r="D25" i="9" s="1"/>
  <c r="D16" i="7"/>
  <c r="C12" i="14"/>
  <c r="C13" i="14" s="1"/>
  <c r="C8" i="39" s="1"/>
  <c r="F12" i="14"/>
  <c r="D12" i="7"/>
  <c r="C29" i="7"/>
  <c r="C38" i="7" s="1"/>
  <c r="C45" i="14"/>
  <c r="H45" i="14" s="1"/>
  <c r="J45" i="14" s="1"/>
  <c r="H44" i="14"/>
  <c r="J44" i="14" s="1"/>
  <c r="D16" i="6"/>
  <c r="F11" i="14"/>
  <c r="B13" i="14"/>
  <c r="B8" i="39" s="1"/>
  <c r="C29" i="6"/>
  <c r="C38" i="6" s="1"/>
  <c r="C44" i="14"/>
  <c r="C11" i="14"/>
  <c r="H11" i="14" s="1"/>
  <c r="J11" i="14" s="1"/>
  <c r="B46" i="14"/>
  <c r="B81" i="39" s="1"/>
  <c r="C32" i="5"/>
  <c r="C54" i="5" s="1"/>
  <c r="C43" i="14"/>
  <c r="D30" i="9"/>
  <c r="F43" i="15"/>
  <c r="F47" i="15" s="1"/>
  <c r="F82" i="39" s="1"/>
  <c r="F87" i="39" s="1"/>
  <c r="B47" i="15"/>
  <c r="B82" i="39" s="1"/>
  <c r="C10" i="15"/>
  <c r="D16" i="9"/>
  <c r="D34" i="9"/>
  <c r="G43" i="15"/>
  <c r="G47" i="15" s="1"/>
  <c r="G82" i="39" s="1"/>
  <c r="G87" i="39" s="1"/>
  <c r="C36" i="9"/>
  <c r="G10" i="15"/>
  <c r="G14" i="15" s="1"/>
  <c r="G9" i="39" s="1"/>
  <c r="B36" i="9"/>
  <c r="J43" i="26"/>
  <c r="H44" i="26"/>
  <c r="J44" i="26" s="1"/>
  <c r="F29" i="7"/>
  <c r="F38" i="7" s="1"/>
  <c r="D29" i="20"/>
  <c r="D38" i="20" s="1"/>
  <c r="D29" i="16"/>
  <c r="D33" i="16" s="1"/>
  <c r="D17" i="12"/>
  <c r="C33" i="12"/>
  <c r="C37" i="12" s="1"/>
  <c r="D12" i="8"/>
  <c r="C29" i="8"/>
  <c r="C33" i="8" s="1"/>
  <c r="D26" i="4"/>
  <c r="D12" i="4"/>
  <c r="H10" i="31"/>
  <c r="G11" i="31"/>
  <c r="G12" i="39" s="1"/>
  <c r="H12" i="39" s="1"/>
  <c r="J12" i="39" s="1"/>
  <c r="F15" i="27"/>
  <c r="F11" i="39" s="1"/>
  <c r="E23" i="22"/>
  <c r="B33" i="22"/>
  <c r="C15" i="27"/>
  <c r="C11" i="39" s="1"/>
  <c r="E20" i="22"/>
  <c r="H10" i="26"/>
  <c r="J10" i="26" s="1"/>
  <c r="D12" i="26"/>
  <c r="D10" i="39" s="1"/>
  <c r="H10" i="39" s="1"/>
  <c r="J10" i="39" s="1"/>
  <c r="D26" i="5"/>
  <c r="D30" i="5"/>
  <c r="E23" i="23"/>
  <c r="D32" i="11"/>
  <c r="D29" i="17"/>
  <c r="D39" i="17" s="1"/>
  <c r="B39" i="17"/>
  <c r="D30" i="21"/>
  <c r="D40" i="21" s="1"/>
  <c r="B40" i="21"/>
  <c r="E41" i="36"/>
  <c r="E54" i="36" s="1"/>
  <c r="H14" i="27"/>
  <c r="J14" i="27" s="1"/>
  <c r="D11" i="15"/>
  <c r="D14" i="15" s="1"/>
  <c r="D9" i="39" s="1"/>
  <c r="D16" i="10"/>
  <c r="D24" i="10"/>
  <c r="D10" i="10"/>
  <c r="D33" i="23"/>
  <c r="D42" i="23" s="1"/>
  <c r="B42" i="23"/>
  <c r="J12" i="27"/>
  <c r="D50" i="28"/>
  <c r="D15" i="11"/>
  <c r="C12" i="15"/>
  <c r="C34" i="11"/>
  <c r="C65" i="11" s="1"/>
  <c r="D28" i="11"/>
  <c r="F12" i="15"/>
  <c r="B14" i="15"/>
  <c r="B9" i="39" s="1"/>
  <c r="D13" i="10"/>
  <c r="C11" i="15"/>
  <c r="C26" i="10"/>
  <c r="C41" i="10" s="1"/>
  <c r="D20" i="10"/>
  <c r="G9" i="14"/>
  <c r="C28" i="4"/>
  <c r="C37" i="4" s="1"/>
  <c r="F9" i="14"/>
  <c r="H9" i="14" s="1"/>
  <c r="J9" i="14" s="1"/>
  <c r="D15" i="5"/>
  <c r="F10" i="14"/>
  <c r="E30" i="32"/>
  <c r="E34" i="32" s="1"/>
  <c r="F33" i="12"/>
  <c r="F37" i="12" s="1"/>
  <c r="F34" i="11"/>
  <c r="F65" i="11" s="1"/>
  <c r="F26" i="10"/>
  <c r="F41" i="10" s="1"/>
  <c r="C14" i="15"/>
  <c r="C9" i="39" s="1"/>
  <c r="F10" i="15"/>
  <c r="F14" i="15" s="1"/>
  <c r="F9" i="39" s="1"/>
  <c r="B68" i="9"/>
  <c r="D12" i="9"/>
  <c r="C68" i="9"/>
  <c r="F36" i="9"/>
  <c r="F68" i="9" s="1"/>
  <c r="F29" i="8"/>
  <c r="F33" i="8" s="1"/>
  <c r="F29" i="6"/>
  <c r="F38" i="6" s="1"/>
  <c r="F32" i="5"/>
  <c r="F54" i="5" s="1"/>
  <c r="E32" i="33"/>
  <c r="E69" i="33" s="1"/>
  <c r="E12" i="28"/>
  <c r="E26" i="28"/>
  <c r="E37" i="28"/>
  <c r="B29" i="29"/>
  <c r="G9" i="31"/>
  <c r="H9" i="31" s="1"/>
  <c r="E16" i="30"/>
  <c r="E12" i="30"/>
  <c r="E23" i="30"/>
  <c r="E27" i="30"/>
  <c r="E20" i="30"/>
  <c r="D31" i="25"/>
  <c r="D35" i="25" s="1"/>
  <c r="D33" i="22"/>
  <c r="E12" i="22"/>
  <c r="E16" i="22"/>
  <c r="E27" i="20"/>
  <c r="E20" i="20"/>
  <c r="E16" i="20"/>
  <c r="E23" i="20"/>
  <c r="E12" i="20"/>
  <c r="D29" i="18"/>
  <c r="D39" i="18" s="1"/>
  <c r="E12" i="17"/>
  <c r="E16" i="16"/>
  <c r="E12" i="16"/>
  <c r="H11" i="15"/>
  <c r="J11" i="15" s="1"/>
  <c r="H9" i="15"/>
  <c r="G13" i="14"/>
  <c r="G8" i="39" s="1"/>
  <c r="D13" i="14"/>
  <c r="D8" i="39" s="1"/>
  <c r="H12" i="14"/>
  <c r="J12" i="14" s="1"/>
  <c r="D23" i="12"/>
  <c r="B33" i="12"/>
  <c r="B37" i="12" s="1"/>
  <c r="D24" i="11"/>
  <c r="B34" i="11"/>
  <c r="B65" i="11" s="1"/>
  <c r="D11" i="11"/>
  <c r="B26" i="10"/>
  <c r="B41" i="10" s="1"/>
  <c r="B33" i="8"/>
  <c r="D29" i="8"/>
  <c r="D33" i="8" s="1"/>
  <c r="B29" i="7"/>
  <c r="B38" i="7" s="1"/>
  <c r="D12" i="6"/>
  <c r="B29" i="6"/>
  <c r="B32" i="5"/>
  <c r="B54" i="5" s="1"/>
  <c r="F28" i="4"/>
  <c r="F37" i="4" s="1"/>
  <c r="D16" i="4"/>
  <c r="D18" i="4"/>
  <c r="D20" i="4" s="1"/>
  <c r="B28" i="4"/>
  <c r="B37" i="4" s="1"/>
  <c r="D87" i="39" l="1"/>
  <c r="E27" i="17"/>
  <c r="B14" i="39"/>
  <c r="C46" i="14"/>
  <c r="C81" i="39" s="1"/>
  <c r="C87" i="39" s="1"/>
  <c r="D29" i="6"/>
  <c r="D38" i="6" s="1"/>
  <c r="B38" i="6"/>
  <c r="F14" i="39"/>
  <c r="F13" i="14"/>
  <c r="F8" i="39" s="1"/>
  <c r="C14" i="39"/>
  <c r="H43" i="14"/>
  <c r="D14" i="39"/>
  <c r="G14" i="39"/>
  <c r="H81" i="39"/>
  <c r="J81" i="39" s="1"/>
  <c r="B87" i="39"/>
  <c r="H82" i="39"/>
  <c r="D36" i="9"/>
  <c r="E16" i="9" s="1"/>
  <c r="H43" i="15"/>
  <c r="E16" i="17"/>
  <c r="E20" i="16"/>
  <c r="E29" i="16" s="1"/>
  <c r="E33" i="16" s="1"/>
  <c r="E23" i="16"/>
  <c r="E27" i="16"/>
  <c r="E16" i="8"/>
  <c r="H11" i="31"/>
  <c r="J11" i="31" s="1"/>
  <c r="J10" i="31"/>
  <c r="H11" i="39"/>
  <c r="J11" i="39" s="1"/>
  <c r="H15" i="27"/>
  <c r="J15" i="27" s="1"/>
  <c r="E29" i="22"/>
  <c r="E33" i="22" s="1"/>
  <c r="H12" i="26"/>
  <c r="J12" i="26" s="1"/>
  <c r="E28" i="23"/>
  <c r="E23" i="17"/>
  <c r="E20" i="17"/>
  <c r="E36" i="17" s="1"/>
  <c r="H10" i="14"/>
  <c r="H13" i="14" s="1"/>
  <c r="J13" i="14" s="1"/>
  <c r="E21" i="21"/>
  <c r="E24" i="21"/>
  <c r="E16" i="21"/>
  <c r="E12" i="21"/>
  <c r="E28" i="21"/>
  <c r="H12" i="15"/>
  <c r="J12" i="15" s="1"/>
  <c r="H9" i="39"/>
  <c r="H8" i="39"/>
  <c r="E11" i="23"/>
  <c r="E15" i="23"/>
  <c r="E31" i="23"/>
  <c r="E33" i="28"/>
  <c r="E16" i="28"/>
  <c r="D34" i="11"/>
  <c r="D65" i="11" s="1"/>
  <c r="H10" i="15"/>
  <c r="D29" i="29"/>
  <c r="B33" i="29"/>
  <c r="E29" i="30"/>
  <c r="E25" i="25"/>
  <c r="E29" i="25"/>
  <c r="E12" i="25"/>
  <c r="E16" i="25"/>
  <c r="E21" i="25"/>
  <c r="E29" i="20"/>
  <c r="E38" i="20" s="1"/>
  <c r="E23" i="18"/>
  <c r="E12" i="18"/>
  <c r="E16" i="18"/>
  <c r="E27" i="18"/>
  <c r="E20" i="18"/>
  <c r="D33" i="12"/>
  <c r="D37" i="12" s="1"/>
  <c r="D26" i="10"/>
  <c r="E27" i="8"/>
  <c r="E20" i="8"/>
  <c r="E23" i="8"/>
  <c r="E12" i="8"/>
  <c r="D29" i="7"/>
  <c r="D38" i="7" s="1"/>
  <c r="E16" i="6"/>
  <c r="E27" i="6"/>
  <c r="D32" i="5"/>
  <c r="D28" i="4"/>
  <c r="E20" i="4" s="1"/>
  <c r="D68" i="9" l="1"/>
  <c r="E12" i="9"/>
  <c r="E20" i="6"/>
  <c r="E12" i="6"/>
  <c r="E23" i="6"/>
  <c r="H46" i="14"/>
  <c r="J46" i="14" s="1"/>
  <c r="J43" i="14"/>
  <c r="H87" i="39"/>
  <c r="J82" i="39"/>
  <c r="J87" i="39" s="1"/>
  <c r="H47" i="15"/>
  <c r="J47" i="15" s="1"/>
  <c r="J43" i="15"/>
  <c r="E34" i="9"/>
  <c r="E25" i="9"/>
  <c r="E36" i="9" s="1"/>
  <c r="J9" i="39"/>
  <c r="H14" i="39"/>
  <c r="E20" i="7"/>
  <c r="E12" i="7"/>
  <c r="E29" i="17"/>
  <c r="E29" i="18"/>
  <c r="E39" i="18" s="1"/>
  <c r="J10" i="14"/>
  <c r="E28" i="11"/>
  <c r="E33" i="23"/>
  <c r="E42" i="23" s="1"/>
  <c r="E30" i="21"/>
  <c r="E40" i="21" s="1"/>
  <c r="E39" i="28"/>
  <c r="E24" i="11"/>
  <c r="E16" i="10"/>
  <c r="D41" i="10"/>
  <c r="J10" i="15"/>
  <c r="H14" i="15"/>
  <c r="J14" i="15" s="1"/>
  <c r="D54" i="5"/>
  <c r="E11" i="5"/>
  <c r="J8" i="39"/>
  <c r="E11" i="11"/>
  <c r="E32" i="11"/>
  <c r="E15" i="11"/>
  <c r="E30" i="9"/>
  <c r="D33" i="29"/>
  <c r="E12" i="29"/>
  <c r="E20" i="29"/>
  <c r="E27" i="29"/>
  <c r="E23" i="29"/>
  <c r="E16" i="29"/>
  <c r="E31" i="25"/>
  <c r="E35" i="25" s="1"/>
  <c r="E17" i="12"/>
  <c r="E27" i="12"/>
  <c r="E23" i="12"/>
  <c r="E12" i="12"/>
  <c r="E31" i="12"/>
  <c r="E13" i="10"/>
  <c r="E10" i="10"/>
  <c r="E24" i="10"/>
  <c r="E20" i="10"/>
  <c r="E29" i="8"/>
  <c r="E33" i="8" s="1"/>
  <c r="E16" i="7"/>
  <c r="E27" i="7"/>
  <c r="E23" i="7"/>
  <c r="E29" i="6"/>
  <c r="E23" i="5"/>
  <c r="E15" i="5"/>
  <c r="E30" i="5"/>
  <c r="E26" i="5"/>
  <c r="D37" i="4"/>
  <c r="E16" i="4"/>
  <c r="E23" i="4"/>
  <c r="E12" i="4"/>
  <c r="E26" i="4"/>
  <c r="J14" i="39" l="1"/>
  <c r="E34" i="11"/>
  <c r="E65" i="11" s="1"/>
  <c r="E32" i="5"/>
  <c r="E29" i="29"/>
  <c r="E33" i="29" s="1"/>
  <c r="E33" i="12"/>
  <c r="E37" i="12" s="1"/>
  <c r="E26" i="10"/>
  <c r="E41" i="10" s="1"/>
  <c r="E29" i="7"/>
  <c r="E38" i="7" s="1"/>
  <c r="E28" i="4"/>
</calcChain>
</file>

<file path=xl/connections.xml><?xml version="1.0" encoding="utf-8"?>
<connections xmlns="http://schemas.openxmlformats.org/spreadsheetml/2006/main">
  <connection id="1" name="conti" type="6" refreshedVersion="4" background="1" saveData="1">
    <textPr sourceFile="C:\LIBRA\Formati\conti.txt" decimal="," thousands=".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" type="6" refreshedVersion="4" background="1" saveData="1">
    <textPr codePage="850" sourceFile="C:\LIBRA\Formati\cancelleria.txt" decimal="," thousands=".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<sst xmlns="http://schemas.openxmlformats.org/spreadsheetml/2006/main" count="1333" uniqueCount="289">
  <si>
    <t>Acquisto cancelleria</t>
  </si>
  <si>
    <t>Spese assicurative</t>
  </si>
  <si>
    <t>Imposte e tasse</t>
  </si>
  <si>
    <t>Spese telefoniche</t>
  </si>
  <si>
    <t>Spese postali</t>
  </si>
  <si>
    <t>Contributi ad associazioni</t>
  </si>
  <si>
    <t>oneri pregr. pers pensionabile</t>
  </si>
  <si>
    <t>Corsi di formazione</t>
  </si>
  <si>
    <t>Descrizione del Centro di Costo:</t>
  </si>
  <si>
    <t xml:space="preserve">                                DATI ECONOMICI ED ANALITICI </t>
  </si>
  <si>
    <t>DENOMINAZIONE CONTO</t>
  </si>
  <si>
    <t>ANNO</t>
  </si>
  <si>
    <t>COSTI</t>
  </si>
  <si>
    <t>I° sem.</t>
  </si>
  <si>
    <t>II° sem.</t>
  </si>
  <si>
    <t>PROGR.</t>
  </si>
  <si>
    <t>%</t>
  </si>
  <si>
    <t>PRECED.</t>
  </si>
  <si>
    <t>Personale</t>
  </si>
  <si>
    <t>Totale Personale</t>
  </si>
  <si>
    <t>Acquisto beni di cons./materia</t>
  </si>
  <si>
    <t>Stampati e cancelleria</t>
  </si>
  <si>
    <t>Totale Acquisto di beni</t>
  </si>
  <si>
    <t>Prestazioni di Servizi</t>
  </si>
  <si>
    <t>Gettoni di presenza</t>
  </si>
  <si>
    <t>Totale Prestazioni  Servizi</t>
  </si>
  <si>
    <t>Trasferimenti</t>
  </si>
  <si>
    <t>Totale Trasferimenti</t>
  </si>
  <si>
    <t>Imposte e Tasse</t>
  </si>
  <si>
    <t>Totale Imposte e Tasse</t>
  </si>
  <si>
    <t>Totale Costi</t>
  </si>
  <si>
    <t>RICAVI</t>
  </si>
  <si>
    <t xml:space="preserve"> RICAVI - COSTI</t>
  </si>
  <si>
    <t xml:space="preserve">            CONSUNTIVO DATI ECONOMICI 2013</t>
  </si>
  <si>
    <t>Contributi</t>
  </si>
  <si>
    <t>Tassa di circolazione</t>
  </si>
  <si>
    <t>Incarichi professionali</t>
  </si>
  <si>
    <t>Irap</t>
  </si>
  <si>
    <t>Pasti/mensa dipendenti</t>
  </si>
  <si>
    <t>Diritti di segreteria segretario</t>
  </si>
  <si>
    <t>Diritti di segreteria stato</t>
  </si>
  <si>
    <t>Contributi ad altri Enti</t>
  </si>
  <si>
    <t>Trasferimento isecs</t>
  </si>
  <si>
    <t>Carburanti e lubrificanti</t>
  </si>
  <si>
    <t>Spese condominiali</t>
  </si>
  <si>
    <t>Acquisto libri e giornali</t>
  </si>
  <si>
    <t>CONTABILITA' ANALITICA DI PARTE CORRENTE</t>
  </si>
  <si>
    <t xml:space="preserve">riepilogo di settore </t>
  </si>
  <si>
    <t>relazione con il cittadino</t>
  </si>
  <si>
    <t>personale</t>
  </si>
  <si>
    <t>ufficio relazioni con il pubblico</t>
  </si>
  <si>
    <t>commercio</t>
  </si>
  <si>
    <t>sportello unico</t>
  </si>
  <si>
    <t>totale valori  di settore</t>
  </si>
  <si>
    <t>1 sem. 2013</t>
  </si>
  <si>
    <t>Dirigenza</t>
  </si>
  <si>
    <t xml:space="preserve">acquisto beni </t>
  </si>
  <si>
    <t>Prestazione servizi</t>
  </si>
  <si>
    <t>Utilizzo beni di terzi</t>
  </si>
  <si>
    <t>Totale costi</t>
  </si>
  <si>
    <t>Totale ricavi</t>
  </si>
  <si>
    <t>Diff. A - B</t>
  </si>
  <si>
    <t>A</t>
  </si>
  <si>
    <t>B</t>
  </si>
  <si>
    <t>Trasf.</t>
  </si>
  <si>
    <t>Ragioneria e controllo di gestione</t>
  </si>
  <si>
    <t>Programmazione finanziaria e servizi interni</t>
  </si>
  <si>
    <t>Manutenzione ordinarie</t>
  </si>
  <si>
    <t>Spese di notifica</t>
  </si>
  <si>
    <t>Manutenzioni ordinarie</t>
  </si>
  <si>
    <t>Energia elettrica</t>
  </si>
  <si>
    <t>Spese manifestazione</t>
  </si>
  <si>
    <t>Spese per smaltimento rifiuti</t>
  </si>
  <si>
    <t>Servizi di igiene ambientale</t>
  </si>
  <si>
    <t>Contributi altri enti</t>
  </si>
  <si>
    <t>Assetto del Territorio</t>
  </si>
  <si>
    <t>Qualità urbana</t>
  </si>
  <si>
    <t>Gestione fin. Serv. Decentrati</t>
  </si>
  <si>
    <t>Amministrazione del patrimonio</t>
  </si>
  <si>
    <t>Piccoli acquisti e gest. Document.</t>
  </si>
  <si>
    <t>Immobili</t>
  </si>
  <si>
    <t>Edilizia privata</t>
  </si>
  <si>
    <t>Verde ed arredo urbano</t>
  </si>
  <si>
    <t>Illuminazione pubblica</t>
  </si>
  <si>
    <t>Nettezza urbana</t>
  </si>
  <si>
    <t>Strade e segnaletica</t>
  </si>
  <si>
    <t>Risorse strumentali</t>
  </si>
  <si>
    <t>Pubblicazione atti</t>
  </si>
  <si>
    <t>Territorio e Patrimonio</t>
  </si>
  <si>
    <t>Urbanistica</t>
  </si>
  <si>
    <t>Aggi concessionari</t>
  </si>
  <si>
    <t>Spese di rappresentanza</t>
  </si>
  <si>
    <t>Rimborsi vari</t>
  </si>
  <si>
    <t>Servizi di comunicazione ente</t>
  </si>
  <si>
    <t>Contributi associazioni</t>
  </si>
  <si>
    <t>Irap su incentivi</t>
  </si>
  <si>
    <t>Incentivi dirigenti</t>
  </si>
  <si>
    <t>Incentivi al pesonale</t>
  </si>
  <si>
    <t>Contributi su incentivi</t>
  </si>
  <si>
    <t>Prest.servizi progetto Senegal</t>
  </si>
  <si>
    <t>Canoni abbonamento internet</t>
  </si>
  <si>
    <t>Manut. ordinarie informatiche</t>
  </si>
  <si>
    <t>Indennità di missione</t>
  </si>
  <si>
    <t>Indennità di carica</t>
  </si>
  <si>
    <t>Staff</t>
  </si>
  <si>
    <t>Direzione generale</t>
  </si>
  <si>
    <t>Servizi demografici</t>
  </si>
  <si>
    <t>Entrate tributarie</t>
  </si>
  <si>
    <t>Segreteria Sindaco</t>
  </si>
  <si>
    <t xml:space="preserve">Ufficio Comunicazione </t>
  </si>
  <si>
    <t>Sgravi e rimborsi</t>
  </si>
  <si>
    <t>Consulenze organizzative</t>
  </si>
  <si>
    <t>Incarichi esterni</t>
  </si>
  <si>
    <t>Indennità km segretario</t>
  </si>
  <si>
    <t>Compenso stagisti</t>
  </si>
  <si>
    <t>Penale estin. Antic. Mutui</t>
  </si>
  <si>
    <t>Contributi provincia</t>
  </si>
  <si>
    <t>Contributo rette case di riposo</t>
  </si>
  <si>
    <t>Trascrizione atti</t>
  </si>
  <si>
    <t>Spese vestiario</t>
  </si>
  <si>
    <t>Gettoni di presenza commiss.</t>
  </si>
  <si>
    <t>Iscrizione ad associazioni</t>
  </si>
  <si>
    <t>Spese tarsu</t>
  </si>
  <si>
    <t>Rimborsi imposte e tasse</t>
  </si>
  <si>
    <t>Convenzione con pers. Esterno</t>
  </si>
  <si>
    <t>Corsi di formazioni</t>
  </si>
  <si>
    <t>Introiti da sponsorizzazioni</t>
  </si>
  <si>
    <t>Interessi attivi</t>
  </si>
  <si>
    <t>Proventi diversi</t>
  </si>
  <si>
    <t>Totale proventi diversi</t>
  </si>
  <si>
    <t>Erogazioni atti e certificati</t>
  </si>
  <si>
    <t>Totale proventi da serv. Pubb.</t>
  </si>
  <si>
    <t>Proventi da servizi pubblici</t>
  </si>
  <si>
    <t>Rimborsi da altri enti</t>
  </si>
  <si>
    <t>Proventi da gestione patrim.</t>
  </si>
  <si>
    <t>Totale proventi gest. Patrim.</t>
  </si>
  <si>
    <t>Affitti rami d'azienda</t>
  </si>
  <si>
    <t>Proventi tributari</t>
  </si>
  <si>
    <t>Addizionale enel</t>
  </si>
  <si>
    <t>F.do solidarietà comunale</t>
  </si>
  <si>
    <t>Proventi da trasferimenti</t>
  </si>
  <si>
    <t>Trasferimenti statali</t>
  </si>
  <si>
    <t>Trasferimenti regionali</t>
  </si>
  <si>
    <t>Recupero spese mensa</t>
  </si>
  <si>
    <t>Totale interessi attivi</t>
  </si>
  <si>
    <t>Trasferimenti altri enti</t>
  </si>
  <si>
    <t>Dividendi società</t>
  </si>
  <si>
    <t>Noleggio sale</t>
  </si>
  <si>
    <t>Fitti attivi aree</t>
  </si>
  <si>
    <t>Fitti attivi immobili</t>
  </si>
  <si>
    <t>Rimborso da altri enti</t>
  </si>
  <si>
    <t>Trasferimenti da altri enti</t>
  </si>
  <si>
    <t>Diritti di segreteria</t>
  </si>
  <si>
    <t>Sanzioni a regolamenti</t>
  </si>
  <si>
    <t>Produzione di energia</t>
  </si>
  <si>
    <t>Sanzioni da regolamento</t>
  </si>
  <si>
    <t>Tares</t>
  </si>
  <si>
    <t>Addizionale erariale</t>
  </si>
  <si>
    <t>Tarsu</t>
  </si>
  <si>
    <t>Sanzioni codice della strada</t>
  </si>
  <si>
    <t>Recupero Ici</t>
  </si>
  <si>
    <t>Imposta di pubblicità</t>
  </si>
  <si>
    <t>Imu</t>
  </si>
  <si>
    <t>Proventi pubbliche affissioni</t>
  </si>
  <si>
    <t>Cosap</t>
  </si>
  <si>
    <t>Rimborsi diversi</t>
  </si>
  <si>
    <t>F.do di riequilibrio</t>
  </si>
  <si>
    <t>Concorso altri enti</t>
  </si>
  <si>
    <t>Fitti rami d'azienda</t>
  </si>
  <si>
    <t xml:space="preserve">riepilogo per settore </t>
  </si>
  <si>
    <t>I° settore</t>
  </si>
  <si>
    <t>II° settore</t>
  </si>
  <si>
    <t>III° settore</t>
  </si>
  <si>
    <t>IV° settore</t>
  </si>
  <si>
    <t>V° settore</t>
  </si>
  <si>
    <t>VI° settore</t>
  </si>
  <si>
    <t>Ufficio relazione con il cittadino</t>
  </si>
  <si>
    <t>Sportello unico associato</t>
  </si>
  <si>
    <t>Commercio</t>
  </si>
  <si>
    <t>Totale utilizzo beni di terzi</t>
  </si>
  <si>
    <t>Noleggio autovetture</t>
  </si>
  <si>
    <t>Noleggio autovettura</t>
  </si>
  <si>
    <t>Spese di carburante</t>
  </si>
  <si>
    <t>Costi di carburanti</t>
  </si>
  <si>
    <t>Spese di carbutante</t>
  </si>
  <si>
    <t>Spese assicurative autoveicolo</t>
  </si>
  <si>
    <t>Spese assicurative veicoli</t>
  </si>
  <si>
    <t>tassa di circolazione</t>
  </si>
  <si>
    <t>Spese riscaldamento</t>
  </si>
  <si>
    <t>Spese idriche</t>
  </si>
  <si>
    <t xml:space="preserve">Spese telefoniche </t>
  </si>
  <si>
    <t>Spese energia elettrica</t>
  </si>
  <si>
    <t>Spese di pulizia</t>
  </si>
  <si>
    <t>INDICATORI</t>
  </si>
  <si>
    <t xml:space="preserve">N° richieste di alienazioni </t>
  </si>
  <si>
    <t xml:space="preserve">N° contratti </t>
  </si>
  <si>
    <t xml:space="preserve"> </t>
  </si>
  <si>
    <t xml:space="preserve">     COMUNE DI CORREGGIO</t>
  </si>
  <si>
    <t>I° Settore</t>
  </si>
  <si>
    <t>Relazioni con il cittadino</t>
  </si>
  <si>
    <t>Dirigente : Nadia Culzoni</t>
  </si>
  <si>
    <t>II° Settore</t>
  </si>
  <si>
    <t>Dirigente : Daniele Cristoforetti</t>
  </si>
  <si>
    <t>Gestione fin.serv. Decentrati</t>
  </si>
  <si>
    <t>Piccoli acquisti e gest.documentale</t>
  </si>
  <si>
    <t>III° Settore</t>
  </si>
  <si>
    <t>Assetto del territorio</t>
  </si>
  <si>
    <t>Dirigente : Daniele Soncini</t>
  </si>
  <si>
    <t>Edilizia Privata</t>
  </si>
  <si>
    <t>IV° Settore</t>
  </si>
  <si>
    <t>Dirigente : Simone Aristarchi</t>
  </si>
  <si>
    <t>Verde e arredo urbano</t>
  </si>
  <si>
    <t>V° Settore</t>
  </si>
  <si>
    <t>Territorio e patrimonio</t>
  </si>
  <si>
    <t>Dirigente : Fausto Armani</t>
  </si>
  <si>
    <t>VI° Settore</t>
  </si>
  <si>
    <t>Dirigente : Luciano Pellegrini</t>
  </si>
  <si>
    <t>Segreteria sindaco</t>
  </si>
  <si>
    <t>Servizio comunicazioni</t>
  </si>
  <si>
    <t xml:space="preserve">     I° Settore - Relazioni con il cittadino </t>
  </si>
  <si>
    <t>Responsabile : Claudio Fantuzzi</t>
  </si>
  <si>
    <t>Sportello Unico Associato</t>
  </si>
  <si>
    <t>Elisa Pellacani</t>
  </si>
  <si>
    <t>Emanuela Tonacci</t>
  </si>
  <si>
    <t>Clara Vezzani</t>
  </si>
  <si>
    <t>Karin Messori</t>
  </si>
  <si>
    <t>Lorena Boccaletti</t>
  </si>
  <si>
    <t>Monica Barlettai</t>
  </si>
  <si>
    <t>Sara Bassoli</t>
  </si>
  <si>
    <t>Barbara Brandoli</t>
  </si>
  <si>
    <t>Barilli Diva</t>
  </si>
  <si>
    <t>Corradini Paolo</t>
  </si>
  <si>
    <t xml:space="preserve">     II° Settore - Programmazione finanziaria e servizi interni </t>
  </si>
  <si>
    <t>Responsabile : Paolo Fontanesi</t>
  </si>
  <si>
    <t>Fabrizio Bonacini</t>
  </si>
  <si>
    <t>Donatella Borghi</t>
  </si>
  <si>
    <t>Jennifer Medici</t>
  </si>
  <si>
    <t>Piccoli acquisti e gest. Documentale</t>
  </si>
  <si>
    <t>Laura Losi</t>
  </si>
  <si>
    <t>Margherita Incerti</t>
  </si>
  <si>
    <t>Vera Valenzi</t>
  </si>
  <si>
    <t>Imombili</t>
  </si>
  <si>
    <t>Responsabile : Luca Forti</t>
  </si>
  <si>
    <t>Alessandro Franchini (incarico)</t>
  </si>
  <si>
    <t>Responsabile : Silvia Daviddi</t>
  </si>
  <si>
    <t>Anna Cavazzoni</t>
  </si>
  <si>
    <t>Benedetta Ruozzi</t>
  </si>
  <si>
    <t>Marco Catellani</t>
  </si>
  <si>
    <t>Sara Abeti</t>
  </si>
  <si>
    <t>Verde e arredo Urbano</t>
  </si>
  <si>
    <t>Nettezza Urbana</t>
  </si>
  <si>
    <t>Risorse Strumentali</t>
  </si>
  <si>
    <t>Antonio Citro</t>
  </si>
  <si>
    <t>Christian Conte</t>
  </si>
  <si>
    <t>Fausto Cocconi</t>
  </si>
  <si>
    <t>Giorgio Mozzi</t>
  </si>
  <si>
    <t>Giovanni Bruno</t>
  </si>
  <si>
    <t>Marco Marastoni</t>
  </si>
  <si>
    <t>Marco Marzi</t>
  </si>
  <si>
    <t>Marco Morelli</t>
  </si>
  <si>
    <t>Marco Pocaterra</t>
  </si>
  <si>
    <t>Roberto Silingardi</t>
  </si>
  <si>
    <t>Fabrizio Tuci</t>
  </si>
  <si>
    <t>Responsabile : Daniela de Angelis</t>
  </si>
  <si>
    <t>Cristian Bottergen (incarico)</t>
  </si>
  <si>
    <t xml:space="preserve">     VI° Settore - Staff </t>
  </si>
  <si>
    <t xml:space="preserve">    V° Settore - Territorio e Patrimonio</t>
  </si>
  <si>
    <t xml:space="preserve">     IV° Settore - Qualità urbana </t>
  </si>
  <si>
    <t xml:space="preserve">     III° Settore - Assetto del territorio</t>
  </si>
  <si>
    <t>Serevizi demografici</t>
  </si>
  <si>
    <t>Responsabile : Rossella Doati</t>
  </si>
  <si>
    <t>Eros Bizzarri</t>
  </si>
  <si>
    <t>Guido Favali</t>
  </si>
  <si>
    <t>Rita Bortoluzzi</t>
  </si>
  <si>
    <t>Rossana Leporati</t>
  </si>
  <si>
    <t>Stefania Penserini</t>
  </si>
  <si>
    <t>Entrate Tributarie</t>
  </si>
  <si>
    <t>Responsabile : Adriana Vezzani</t>
  </si>
  <si>
    <t>Annalisa Zinani</t>
  </si>
  <si>
    <t>Lorella Campana</t>
  </si>
  <si>
    <t>Segreteria del Sindaco</t>
  </si>
  <si>
    <t xml:space="preserve">Servizio Comunicazione </t>
  </si>
  <si>
    <t>Responsabile : Paola Vignudini</t>
  </si>
  <si>
    <t>Catia Scaltriti</t>
  </si>
  <si>
    <t>Marco Truzzi</t>
  </si>
  <si>
    <t>Sara Pinotti</t>
  </si>
  <si>
    <t>2 sem. 2013</t>
  </si>
  <si>
    <t>1° semestre</t>
  </si>
  <si>
    <t>2°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</si>
</sst>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0.0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6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2" applyFont="1"/>
    <xf numFmtId="164" fontId="4" fillId="0" borderId="0" xfId="2" applyNumberFormat="1" applyFont="1" applyFill="1" applyBorder="1"/>
    <xf numFmtId="164" fontId="4" fillId="0" borderId="0" xfId="3" applyNumberFormat="1" applyFont="1" applyFill="1" applyBorder="1"/>
    <xf numFmtId="165" fontId="4" fillId="0" borderId="0" xfId="3" applyNumberFormat="1" applyFont="1" applyFill="1" applyBorder="1"/>
    <xf numFmtId="41" fontId="4" fillId="0" borderId="0" xfId="3" applyFont="1" applyFill="1" applyBorder="1"/>
    <xf numFmtId="0" fontId="4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3" fontId="4" fillId="0" borderId="0" xfId="3" applyNumberFormat="1" applyFont="1" applyFill="1" applyBorder="1"/>
    <xf numFmtId="3" fontId="4" fillId="0" borderId="0" xfId="2" applyNumberFormat="1" applyFont="1" applyFill="1" applyBorder="1"/>
    <xf numFmtId="0" fontId="4" fillId="0" borderId="0" xfId="2" applyFont="1" applyBorder="1"/>
    <xf numFmtId="0" fontId="4" fillId="0" borderId="0" xfId="3" applyNumberFormat="1" applyFont="1" applyBorder="1"/>
    <xf numFmtId="165" fontId="4" fillId="0" borderId="0" xfId="3" applyNumberFormat="1" applyFont="1" applyBorder="1"/>
    <xf numFmtId="0" fontId="4" fillId="0" borderId="0" xfId="2" applyNumberFormat="1" applyFont="1"/>
    <xf numFmtId="165" fontId="4" fillId="0" borderId="0" xfId="2" applyNumberFormat="1" applyFont="1"/>
    <xf numFmtId="164" fontId="4" fillId="0" borderId="0" xfId="2" applyNumberFormat="1" applyFont="1"/>
    <xf numFmtId="43" fontId="4" fillId="0" borderId="0" xfId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0" fontId="4" fillId="0" borderId="0" xfId="2" applyFont="1" applyFill="1"/>
    <xf numFmtId="43" fontId="4" fillId="0" borderId="0" xfId="2" applyNumberFormat="1" applyFont="1" applyFill="1" applyBorder="1"/>
    <xf numFmtId="0" fontId="4" fillId="0" borderId="1" xfId="2" applyFont="1" applyFill="1" applyBorder="1"/>
    <xf numFmtId="43" fontId="4" fillId="0" borderId="1" xfId="1" applyFont="1" applyFill="1" applyBorder="1"/>
    <xf numFmtId="43" fontId="4" fillId="0" borderId="1" xfId="2" applyNumberFormat="1" applyFont="1" applyFill="1" applyBorder="1"/>
    <xf numFmtId="0" fontId="6" fillId="0" borderId="1" xfId="2" applyFont="1" applyFill="1" applyBorder="1"/>
    <xf numFmtId="43" fontId="6" fillId="0" borderId="1" xfId="1" applyFont="1" applyFill="1" applyBorder="1"/>
    <xf numFmtId="0" fontId="9" fillId="0" borderId="1" xfId="2" applyFont="1" applyFill="1" applyBorder="1"/>
    <xf numFmtId="0" fontId="4" fillId="0" borderId="1" xfId="2" applyFont="1" applyFill="1" applyBorder="1" applyAlignment="1">
      <alignment horizontal="center"/>
    </xf>
    <xf numFmtId="0" fontId="4" fillId="0" borderId="5" xfId="2" applyFont="1" applyFill="1" applyBorder="1" applyAlignment="1">
      <alignment wrapText="1"/>
    </xf>
    <xf numFmtId="0" fontId="4" fillId="0" borderId="2" xfId="2" applyFont="1" applyFill="1" applyBorder="1" applyAlignment="1">
      <alignment wrapText="1"/>
    </xf>
    <xf numFmtId="0" fontId="8" fillId="0" borderId="0" xfId="2" applyFont="1" applyFill="1" applyBorder="1" applyAlignment="1"/>
    <xf numFmtId="165" fontId="6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41" fontId="6" fillId="0" borderId="1" xfId="3" applyFont="1" applyFill="1" applyBorder="1"/>
    <xf numFmtId="164" fontId="6" fillId="0" borderId="1" xfId="3" applyNumberFormat="1" applyFont="1" applyFill="1" applyBorder="1"/>
    <xf numFmtId="164" fontId="6" fillId="0" borderId="1" xfId="3" applyNumberFormat="1" applyFont="1" applyFill="1" applyBorder="1" applyAlignment="1">
      <alignment horizontal="center"/>
    </xf>
    <xf numFmtId="0" fontId="7" fillId="0" borderId="1" xfId="2" applyFont="1" applyFill="1" applyBorder="1"/>
    <xf numFmtId="165" fontId="6" fillId="0" borderId="1" xfId="3" applyNumberFormat="1" applyFont="1" applyFill="1" applyBorder="1"/>
    <xf numFmtId="165" fontId="4" fillId="0" borderId="1" xfId="3" applyNumberFormat="1" applyFont="1" applyFill="1" applyBorder="1"/>
    <xf numFmtId="43" fontId="7" fillId="0" borderId="1" xfId="1" applyFont="1" applyFill="1" applyBorder="1"/>
    <xf numFmtId="41" fontId="6" fillId="0" borderId="1" xfId="3" applyFont="1" applyFill="1" applyBorder="1" applyAlignment="1">
      <alignment horizontal="center"/>
    </xf>
    <xf numFmtId="165" fontId="7" fillId="0" borderId="1" xfId="3" applyNumberFormat="1" applyFont="1" applyFill="1" applyBorder="1"/>
    <xf numFmtId="41" fontId="7" fillId="0" borderId="1" xfId="3" applyFont="1" applyFill="1" applyBorder="1" applyAlignment="1"/>
    <xf numFmtId="41" fontId="4" fillId="0" borderId="1" xfId="3" applyFont="1" applyFill="1" applyBorder="1" applyAlignment="1"/>
    <xf numFmtId="41" fontId="6" fillId="0" borderId="1" xfId="3" applyFont="1" applyFill="1" applyBorder="1" applyAlignment="1"/>
    <xf numFmtId="3" fontId="6" fillId="0" borderId="1" xfId="3" applyNumberFormat="1" applyFont="1" applyFill="1" applyBorder="1"/>
    <xf numFmtId="0" fontId="5" fillId="0" borderId="1" xfId="2" applyFont="1" applyFill="1" applyBorder="1"/>
    <xf numFmtId="166" fontId="4" fillId="0" borderId="1" xfId="3" applyNumberFormat="1" applyFont="1" applyFill="1" applyBorder="1"/>
    <xf numFmtId="0" fontId="4" fillId="0" borderId="1" xfId="2" applyFont="1" applyBorder="1"/>
    <xf numFmtId="165" fontId="5" fillId="0" borderId="1" xfId="3" applyNumberFormat="1" applyFont="1" applyFill="1" applyBorder="1"/>
    <xf numFmtId="0" fontId="4" fillId="0" borderId="1" xfId="2" applyNumberFormat="1" applyFont="1" applyBorder="1"/>
    <xf numFmtId="165" fontId="4" fillId="0" borderId="1" xfId="2" applyNumberFormat="1" applyFont="1" applyBorder="1"/>
    <xf numFmtId="43" fontId="6" fillId="0" borderId="1" xfId="2" applyNumberFormat="1" applyFont="1" applyBorder="1"/>
    <xf numFmtId="0" fontId="2" fillId="0" borderId="1" xfId="0" applyFont="1" applyBorder="1"/>
    <xf numFmtId="0" fontId="4" fillId="0" borderId="6" xfId="2" applyFont="1" applyFill="1" applyBorder="1"/>
    <xf numFmtId="43" fontId="4" fillId="0" borderId="6" xfId="1" applyFont="1" applyFill="1" applyBorder="1"/>
    <xf numFmtId="165" fontId="4" fillId="0" borderId="6" xfId="3" applyNumberFormat="1" applyFont="1" applyFill="1" applyBorder="1"/>
    <xf numFmtId="0" fontId="7" fillId="0" borderId="7" xfId="2" applyFont="1" applyFill="1" applyBorder="1"/>
    <xf numFmtId="43" fontId="7" fillId="0" borderId="7" xfId="1" applyFont="1" applyFill="1" applyBorder="1"/>
    <xf numFmtId="165" fontId="4" fillId="0" borderId="7" xfId="3" applyNumberFormat="1" applyFont="1" applyFill="1" applyBorder="1"/>
    <xf numFmtId="43" fontId="6" fillId="0" borderId="7" xfId="1" applyFont="1" applyFill="1" applyBorder="1"/>
    <xf numFmtId="0" fontId="4" fillId="0" borderId="1" xfId="2" applyFont="1" applyBorder="1" applyAlignment="1">
      <alignment wrapText="1"/>
    </xf>
    <xf numFmtId="0" fontId="4" fillId="0" borderId="0" xfId="4" applyFont="1"/>
    <xf numFmtId="0" fontId="4" fillId="0" borderId="0" xfId="4" applyFont="1" applyFill="1"/>
    <xf numFmtId="0" fontId="4" fillId="0" borderId="0" xfId="4" applyFont="1" applyFill="1" applyBorder="1"/>
    <xf numFmtId="0" fontId="13" fillId="0" borderId="0" xfId="4" applyFont="1" applyFill="1" applyBorder="1"/>
    <xf numFmtId="0" fontId="4" fillId="0" borderId="0" xfId="4" applyFont="1" applyFill="1" applyBorder="1" applyAlignment="1">
      <alignment horizontal="center"/>
    </xf>
    <xf numFmtId="0" fontId="12" fillId="2" borderId="0" xfId="4" applyFont="1" applyFill="1" applyBorder="1"/>
    <xf numFmtId="0" fontId="13" fillId="2" borderId="0" xfId="4" applyFont="1" applyFill="1" applyBorder="1"/>
    <xf numFmtId="0" fontId="4" fillId="2" borderId="0" xfId="4" applyFont="1" applyFill="1" applyBorder="1"/>
    <xf numFmtId="0" fontId="12" fillId="2" borderId="11" xfId="4" applyFont="1" applyFill="1" applyBorder="1" applyAlignment="1">
      <alignment wrapText="1"/>
    </xf>
    <xf numFmtId="0" fontId="13" fillId="2" borderId="11" xfId="4" applyFont="1" applyFill="1" applyBorder="1" applyAlignment="1">
      <alignment wrapText="1"/>
    </xf>
    <xf numFmtId="0" fontId="12" fillId="2" borderId="11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wrapText="1"/>
    </xf>
    <xf numFmtId="0" fontId="13" fillId="2" borderId="11" xfId="4" applyFont="1" applyFill="1" applyBorder="1"/>
    <xf numFmtId="0" fontId="15" fillId="2" borderId="0" xfId="4" applyFont="1" applyFill="1" applyBorder="1" applyAlignment="1">
      <alignment vertical="center"/>
    </xf>
    <xf numFmtId="0" fontId="4" fillId="2" borderId="0" xfId="4" applyFont="1" applyFill="1"/>
    <xf numFmtId="0" fontId="12" fillId="2" borderId="16" xfId="4" applyFont="1" applyFill="1" applyBorder="1" applyAlignment="1">
      <alignment horizontal="center" wrapText="1"/>
    </xf>
    <xf numFmtId="0" fontId="12" fillId="2" borderId="8" xfId="4" applyFont="1" applyFill="1" applyBorder="1" applyAlignment="1">
      <alignment horizontal="center" wrapText="1"/>
    </xf>
    <xf numFmtId="0" fontId="12" fillId="2" borderId="9" xfId="4" applyFont="1" applyFill="1" applyBorder="1" applyAlignment="1">
      <alignment wrapText="1"/>
    </xf>
    <xf numFmtId="0" fontId="12" fillId="2" borderId="11" xfId="4" applyFont="1" applyFill="1" applyBorder="1" applyAlignment="1">
      <alignment horizontal="center" wrapText="1"/>
    </xf>
    <xf numFmtId="0" fontId="12" fillId="2" borderId="17" xfId="4" applyFont="1" applyFill="1" applyBorder="1" applyAlignment="1">
      <alignment wrapText="1"/>
    </xf>
    <xf numFmtId="0" fontId="12" fillId="2" borderId="0" xfId="4" applyFont="1" applyFill="1" applyBorder="1" applyAlignment="1">
      <alignment wrapText="1"/>
    </xf>
    <xf numFmtId="0" fontId="12" fillId="2" borderId="17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wrapText="1"/>
    </xf>
    <xf numFmtId="0" fontId="13" fillId="2" borderId="17" xfId="4" applyFont="1" applyFill="1" applyBorder="1" applyAlignment="1">
      <alignment wrapText="1"/>
    </xf>
    <xf numFmtId="0" fontId="13" fillId="2" borderId="11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wrapText="1"/>
    </xf>
    <xf numFmtId="0" fontId="13" fillId="2" borderId="17" xfId="4" applyFont="1" applyFill="1" applyBorder="1" applyAlignment="1">
      <alignment horizontal="center" wrapText="1"/>
    </xf>
    <xf numFmtId="0" fontId="12" fillId="2" borderId="0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wrapText="1"/>
    </xf>
    <xf numFmtId="0" fontId="14" fillId="2" borderId="12" xfId="4" applyFont="1" applyFill="1" applyBorder="1" applyAlignment="1">
      <alignment wrapText="1"/>
    </xf>
    <xf numFmtId="0" fontId="14" fillId="2" borderId="17" xfId="4" applyFont="1" applyFill="1" applyBorder="1" applyAlignment="1">
      <alignment wrapText="1"/>
    </xf>
    <xf numFmtId="0" fontId="14" fillId="2" borderId="0" xfId="4" applyFont="1" applyFill="1" applyBorder="1" applyAlignment="1">
      <alignment wrapText="1"/>
    </xf>
    <xf numFmtId="0" fontId="13" fillId="2" borderId="18" xfId="4" applyFont="1" applyFill="1" applyBorder="1"/>
    <xf numFmtId="0" fontId="12" fillId="2" borderId="13" xfId="4" applyFont="1" applyFill="1" applyBorder="1" applyAlignment="1">
      <alignment wrapText="1"/>
    </xf>
    <xf numFmtId="0" fontId="12" fillId="2" borderId="14" xfId="4" applyFont="1" applyFill="1" applyBorder="1" applyAlignment="1">
      <alignment wrapText="1"/>
    </xf>
    <xf numFmtId="0" fontId="12" fillId="2" borderId="15" xfId="4" applyFont="1" applyFill="1" applyBorder="1" applyAlignment="1">
      <alignment wrapText="1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4" xfId="4" applyFont="1" applyFill="1" applyBorder="1"/>
    <xf numFmtId="0" fontId="13" fillId="2" borderId="15" xfId="4" applyFont="1" applyFill="1" applyBorder="1"/>
    <xf numFmtId="0" fontId="13" fillId="2" borderId="12" xfId="4" applyFont="1" applyFill="1" applyBorder="1" applyAlignment="1">
      <alignment wrapText="1"/>
    </xf>
    <xf numFmtId="0" fontId="4" fillId="0" borderId="9" xfId="4" applyFont="1" applyBorder="1"/>
    <xf numFmtId="0" fontId="4" fillId="0" borderId="17" xfId="4" applyFont="1" applyBorder="1"/>
    <xf numFmtId="0" fontId="4" fillId="2" borderId="9" xfId="4" applyFont="1" applyFill="1" applyBorder="1"/>
    <xf numFmtId="0" fontId="4" fillId="0" borderId="0" xfId="4" applyFont="1" applyBorder="1"/>
    <xf numFmtId="0" fontId="13" fillId="2" borderId="18" xfId="4" applyFont="1" applyFill="1" applyBorder="1" applyAlignment="1">
      <alignment horizontal="center" wrapText="1"/>
    </xf>
    <xf numFmtId="167" fontId="4" fillId="0" borderId="1" xfId="5" applyNumberFormat="1" applyFont="1" applyFill="1" applyBorder="1"/>
    <xf numFmtId="0" fontId="15" fillId="2" borderId="19" xfId="4" applyFont="1" applyFill="1" applyBorder="1" applyAlignment="1">
      <alignment horizontal="center" vertical="center"/>
    </xf>
    <xf numFmtId="0" fontId="15" fillId="2" borderId="20" xfId="4" applyFont="1" applyFill="1" applyBorder="1" applyAlignment="1">
      <alignment horizontal="center" vertical="center"/>
    </xf>
    <xf numFmtId="0" fontId="15" fillId="2" borderId="21" xfId="4" applyFont="1" applyFill="1" applyBorder="1" applyAlignment="1">
      <alignment horizontal="center" vertical="center"/>
    </xf>
    <xf numFmtId="0" fontId="15" fillId="2" borderId="22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15" fillId="2" borderId="23" xfId="4" applyFont="1" applyFill="1" applyBorder="1" applyAlignment="1">
      <alignment horizontal="center" vertical="center"/>
    </xf>
    <xf numFmtId="0" fontId="15" fillId="2" borderId="24" xfId="4" applyFont="1" applyFill="1" applyBorder="1" applyAlignment="1">
      <alignment horizontal="center" vertical="center"/>
    </xf>
    <xf numFmtId="0" fontId="15" fillId="2" borderId="25" xfId="4" applyFont="1" applyFill="1" applyBorder="1" applyAlignment="1">
      <alignment horizontal="center" vertical="center"/>
    </xf>
    <xf numFmtId="0" fontId="15" fillId="2" borderId="26" xfId="4" applyFont="1" applyFill="1" applyBorder="1" applyAlignment="1">
      <alignment horizontal="center" vertical="center"/>
    </xf>
    <xf numFmtId="0" fontId="14" fillId="2" borderId="11" xfId="4" applyFont="1" applyFill="1" applyBorder="1" applyAlignment="1">
      <alignment wrapText="1"/>
    </xf>
    <xf numFmtId="0" fontId="14" fillId="2" borderId="0" xfId="4" applyFont="1" applyFill="1" applyBorder="1" applyAlignment="1">
      <alignment wrapText="1"/>
    </xf>
    <xf numFmtId="0" fontId="14" fillId="2" borderId="12" xfId="4" applyFont="1" applyFill="1" applyBorder="1" applyAlignment="1">
      <alignment wrapText="1"/>
    </xf>
    <xf numFmtId="0" fontId="12" fillId="2" borderId="8" xfId="4" applyFont="1" applyFill="1" applyBorder="1" applyAlignment="1">
      <alignment horizontal="center" wrapText="1"/>
    </xf>
    <xf numFmtId="0" fontId="12" fillId="2" borderId="9" xfId="4" applyFont="1" applyFill="1" applyBorder="1" applyAlignment="1">
      <alignment horizontal="center" wrapText="1"/>
    </xf>
    <xf numFmtId="0" fontId="12" fillId="2" borderId="10" xfId="4" applyFont="1" applyFill="1" applyBorder="1" applyAlignment="1">
      <alignment horizontal="center" wrapText="1"/>
    </xf>
    <xf numFmtId="0" fontId="12" fillId="2" borderId="11" xfId="4" applyFont="1" applyFill="1" applyBorder="1" applyAlignment="1">
      <alignment horizontal="center" wrapText="1"/>
    </xf>
    <xf numFmtId="0" fontId="12" fillId="2" borderId="0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horizontal="center" wrapText="1"/>
    </xf>
    <xf numFmtId="0" fontId="13" fillId="2" borderId="11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horizontal="center" wrapText="1"/>
    </xf>
    <xf numFmtId="0" fontId="13" fillId="2" borderId="12" xfId="4" applyFont="1" applyFill="1" applyBorder="1" applyAlignment="1">
      <alignment horizontal="center" wrapText="1"/>
    </xf>
    <xf numFmtId="41" fontId="6" fillId="0" borderId="1" xfId="3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4" fillId="0" borderId="1" xfId="2" applyFont="1" applyBorder="1" applyAlignment="1"/>
    <xf numFmtId="0" fontId="6" fillId="0" borderId="1" xfId="2" applyFont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15" fillId="2" borderId="19" xfId="4" applyFont="1" applyFill="1" applyBorder="1" applyAlignment="1">
      <alignment horizontal="center" vertical="center" wrapText="1"/>
    </xf>
    <xf numFmtId="0" fontId="15" fillId="2" borderId="20" xfId="4" applyFont="1" applyFill="1" applyBorder="1" applyAlignment="1">
      <alignment horizontal="center" vertical="center" wrapText="1"/>
    </xf>
    <xf numFmtId="0" fontId="15" fillId="2" borderId="21" xfId="4" applyFont="1" applyFill="1" applyBorder="1" applyAlignment="1">
      <alignment horizontal="center" vertical="center" wrapText="1"/>
    </xf>
    <xf numFmtId="0" fontId="15" fillId="2" borderId="22" xfId="4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center" vertical="center" wrapText="1"/>
    </xf>
    <xf numFmtId="0" fontId="15" fillId="2" borderId="23" xfId="4" applyFont="1" applyFill="1" applyBorder="1" applyAlignment="1">
      <alignment horizontal="center" vertical="center" wrapText="1"/>
    </xf>
    <xf numFmtId="0" fontId="15" fillId="2" borderId="24" xfId="4" applyFont="1" applyFill="1" applyBorder="1" applyAlignment="1">
      <alignment horizontal="center" vertical="center" wrapText="1"/>
    </xf>
    <xf numFmtId="0" fontId="15" fillId="2" borderId="25" xfId="4" applyFont="1" applyFill="1" applyBorder="1" applyAlignment="1">
      <alignment horizontal="center" vertical="center" wrapText="1"/>
    </xf>
    <xf numFmtId="0" fontId="15" fillId="2" borderId="26" xfId="4" applyFont="1" applyFill="1" applyBorder="1" applyAlignment="1">
      <alignment horizontal="center" vertical="center" wrapText="1"/>
    </xf>
    <xf numFmtId="0" fontId="4" fillId="0" borderId="1" xfId="2" applyFont="1" applyFill="1" applyBorder="1" applyAlignment="1"/>
    <xf numFmtId="0" fontId="10" fillId="0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4" fillId="0" borderId="2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/>
    <xf numFmtId="0" fontId="10" fillId="0" borderId="0" xfId="2" applyFont="1" applyFill="1" applyAlignment="1">
      <alignment horizontal="center"/>
    </xf>
    <xf numFmtId="0" fontId="4" fillId="0" borderId="5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</cellXfs>
  <cellStyles count="6">
    <cellStyle name="Migliaia" xfId="1" builtinId="3"/>
    <cellStyle name="Migliaia [0] 2" xfId="3"/>
    <cellStyle name="Normale" xfId="0" builtinId="0"/>
    <cellStyle name="Normale 2" xfId="2"/>
    <cellStyle name="Normale 3" xfId="4"/>
    <cellStyle name="Percentual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'riep I°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sett.'!$B$9:$G$9</c:f>
              <c:numCache>
                <c:formatCode>_(* #,##0.00_);_(* \(#,##0.00\);_(* "-"??_);_(@_)</c:formatCode>
                <c:ptCount val="6"/>
                <c:pt idx="0">
                  <c:v>33178.58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2157.84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'riep I° sett.'!$A$10</c:f>
              <c:strCache>
                <c:ptCount val="1"/>
                <c:pt idx="0">
                  <c:v>ufficio relazioni con il pubblico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sett.'!$B$10:$G$10</c:f>
              <c:numCache>
                <c:formatCode>_(* #,##0.00_);_(* \(#,##0.00\);_(* "-"??_);_(@_)</c:formatCode>
                <c:ptCount val="6"/>
                <c:pt idx="0">
                  <c:v>129650.09</c:v>
                </c:pt>
                <c:pt idx="1">
                  <c:v>1375.37</c:v>
                </c:pt>
                <c:pt idx="2">
                  <c:v>4659.66</c:v>
                </c:pt>
                <c:pt idx="3">
                  <c:v>0</c:v>
                </c:pt>
                <c:pt idx="4">
                  <c:v>0</c:v>
                </c:pt>
                <c:pt idx="5">
                  <c:v>7939.9949999999999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'riep I° sett.'!$A$11</c:f>
              <c:strCache>
                <c:ptCount val="1"/>
                <c:pt idx="0">
                  <c:v>commercio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sett.'!$B$11:$G$11</c:f>
              <c:numCache>
                <c:formatCode>_(* #,##0.00_);_(* \(#,##0.00\);_(* "-"??_);_(@_)</c:formatCode>
                <c:ptCount val="6"/>
                <c:pt idx="0">
                  <c:v>12169.04</c:v>
                </c:pt>
                <c:pt idx="1">
                  <c:v>913.24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778.49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'riep I° sett.'!$A$12</c:f>
              <c:strCache>
                <c:ptCount val="1"/>
                <c:pt idx="0">
                  <c:v>sportello unico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sett.'!$B$12:$G$12</c:f>
              <c:numCache>
                <c:formatCode>_(* #,##0.00_);_(* \(#,##0.00\);_(* "-"??_);_(@_)</c:formatCode>
                <c:ptCount val="6"/>
                <c:pt idx="0">
                  <c:v>16018.48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1061.1400000000001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0208"/>
        <c:axId val="31252480"/>
      </c:lineChart>
      <c:catAx>
        <c:axId val="31230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1252480"/>
        <c:crosses val="autoZero"/>
        <c:auto val="1"/>
        <c:lblAlgn val="ctr"/>
        <c:lblOffset val="100"/>
        <c:noMultiLvlLbl val="0"/>
      </c:catAx>
      <c:valAx>
        <c:axId val="3125248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1230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 V° sett.'!$A$41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V°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sett.'!$B$41:$G$41</c:f>
              <c:numCache>
                <c:formatCode>_(* #,##0.00_);_(* \(#,##0.00\);_(* "-"??_);_(@_)</c:formatCode>
                <c:ptCount val="6"/>
                <c:pt idx="0">
                  <c:v>53047.8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3398.07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V° sett.'!$A$42</c:f>
              <c:strCache>
                <c:ptCount val="1"/>
                <c:pt idx="0">
                  <c:v>Urbanistica</c:v>
                </c:pt>
              </c:strCache>
            </c:strRef>
          </c:tx>
          <c:cat>
            <c:multiLvlStrRef>
              <c:f>'riep V°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sett.'!$B$42:$G$42</c:f>
              <c:numCache>
                <c:formatCode>_(* #,##0.00_);_(* \(#,##0.00\);_(* "-"??_);_(@_)</c:formatCode>
                <c:ptCount val="6"/>
                <c:pt idx="0">
                  <c:v>32346.84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2077.4899999999998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06464"/>
        <c:axId val="124224640"/>
      </c:lineChart>
      <c:catAx>
        <c:axId val="124206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224640"/>
        <c:crosses val="autoZero"/>
        <c:auto val="1"/>
        <c:lblAlgn val="ctr"/>
        <c:lblOffset val="100"/>
        <c:noMultiLvlLbl val="0"/>
      </c:catAx>
      <c:valAx>
        <c:axId val="12422464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2064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'riep. VI° sett.'!$A$9</c:f>
              <c:strCache>
                <c:ptCount val="1"/>
                <c:pt idx="0">
                  <c:v>Direzione generale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sett.'!$B$9:$G$9</c:f>
              <c:numCache>
                <c:formatCode>_(* #,##0.00_);_(* \(#,##0.00\);_(* "-"??_);_(@_)</c:formatCode>
                <c:ptCount val="6"/>
                <c:pt idx="0">
                  <c:v>163465.15999999997</c:v>
                </c:pt>
                <c:pt idx="1">
                  <c:v>0</c:v>
                </c:pt>
                <c:pt idx="2">
                  <c:v>11797.269999999999</c:v>
                </c:pt>
                <c:pt idx="3">
                  <c:v>2452.27</c:v>
                </c:pt>
                <c:pt idx="4">
                  <c:v>0</c:v>
                </c:pt>
                <c:pt idx="5">
                  <c:v>13104.485000000001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VI° sett.'!$A$10</c:f>
              <c:strCache>
                <c:ptCount val="1"/>
                <c:pt idx="0">
                  <c:v>Servizi demografici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sett.'!$B$10:$G$10</c:f>
              <c:numCache>
                <c:formatCode>_(* #,##0.00_);_(* \(#,##0.00\);_(* "-"??_);_(@_)</c:formatCode>
                <c:ptCount val="6"/>
                <c:pt idx="0">
                  <c:v>73524.36</c:v>
                </c:pt>
                <c:pt idx="1">
                  <c:v>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  <c:pt idx="5">
                  <c:v>4126.01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VI° sett.'!$A$11</c:f>
              <c:strCache>
                <c:ptCount val="1"/>
                <c:pt idx="0">
                  <c:v>Entrate tributarie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sett.'!$B$11:$G$11</c:f>
              <c:numCache>
                <c:formatCode>_(* #,##0.00_);_(* \(#,##0.00\);_(* "-"??_);_(@_)</c:formatCode>
                <c:ptCount val="6"/>
                <c:pt idx="0">
                  <c:v>30671.74</c:v>
                </c:pt>
                <c:pt idx="1">
                  <c:v>0</c:v>
                </c:pt>
                <c:pt idx="2">
                  <c:v>9348.11</c:v>
                </c:pt>
                <c:pt idx="3">
                  <c:v>0</c:v>
                </c:pt>
                <c:pt idx="4">
                  <c:v>0</c:v>
                </c:pt>
                <c:pt idx="5">
                  <c:v>1879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VI° sett.'!$A$12</c:f>
              <c:strCache>
                <c:ptCount val="1"/>
                <c:pt idx="0">
                  <c:v>Segreteria Sindaco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sett.'!$B$12:$G$12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85829.634999999995</c:v>
                </c:pt>
                <c:pt idx="3">
                  <c:v>0</c:v>
                </c:pt>
                <c:pt idx="4">
                  <c:v>0</c:v>
                </c:pt>
                <c:pt idx="5">
                  <c:v>98.974999999999994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VI° sett.'!$A$13</c:f>
              <c:strCache>
                <c:ptCount val="1"/>
                <c:pt idx="0">
                  <c:v>Ufficio Comunicazione 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sett.'!$B$13:$G$13</c:f>
              <c:numCache>
                <c:formatCode>_(* #,##0.00_);_(* \(#,##0.00\);_(* "-"??_);_(@_)</c:formatCode>
                <c:ptCount val="6"/>
                <c:pt idx="0">
                  <c:v>56462.17</c:v>
                </c:pt>
                <c:pt idx="1">
                  <c:v>0</c:v>
                </c:pt>
                <c:pt idx="2">
                  <c:v>367.88</c:v>
                </c:pt>
                <c:pt idx="3">
                  <c:v>0</c:v>
                </c:pt>
                <c:pt idx="4">
                  <c:v>49405.17</c:v>
                </c:pt>
                <c:pt idx="5">
                  <c:v>3686.42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20576"/>
        <c:axId val="130522112"/>
      </c:lineChart>
      <c:catAx>
        <c:axId val="130520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0522112"/>
        <c:crosses val="autoZero"/>
        <c:auto val="1"/>
        <c:lblAlgn val="ctr"/>
        <c:lblOffset val="100"/>
        <c:noMultiLvlLbl val="0"/>
      </c:catAx>
      <c:valAx>
        <c:axId val="13052211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0520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'riep. VI° sett.'!$A$41</c:f>
              <c:strCache>
                <c:ptCount val="1"/>
                <c:pt idx="0">
                  <c:v>Direzione generale</c:v>
                </c:pt>
              </c:strCache>
            </c:strRef>
          </c:tx>
          <c:cat>
            <c:multiLvlStrRef>
              <c:f>'riep. VI°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sett.'!$B$41:$G$41</c:f>
              <c:numCache>
                <c:formatCode>_(* #,##0.00_);_(* \(#,##0.00\);_(* "-"??_);_(@_)</c:formatCode>
                <c:ptCount val="6"/>
                <c:pt idx="0">
                  <c:v>89236.329999999987</c:v>
                </c:pt>
                <c:pt idx="1">
                  <c:v>0</c:v>
                </c:pt>
                <c:pt idx="2">
                  <c:v>1185.93</c:v>
                </c:pt>
                <c:pt idx="3">
                  <c:v>0</c:v>
                </c:pt>
                <c:pt idx="4">
                  <c:v>0</c:v>
                </c:pt>
                <c:pt idx="5">
                  <c:v>19752.559999999998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VI° sett.'!$A$42</c:f>
              <c:strCache>
                <c:ptCount val="1"/>
                <c:pt idx="0">
                  <c:v>Servizi demografici</c:v>
                </c:pt>
              </c:strCache>
            </c:strRef>
          </c:tx>
          <c:cat>
            <c:multiLvlStrRef>
              <c:f>'riep. VI°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sett.'!$B$42:$G$42</c:f>
              <c:numCache>
                <c:formatCode>_(* #,##0.00_);_(* \(#,##0.00\);_(* "-"??_);_(@_)</c:formatCode>
                <c:ptCount val="6"/>
                <c:pt idx="0">
                  <c:v>85153.62</c:v>
                </c:pt>
                <c:pt idx="1">
                  <c:v>0</c:v>
                </c:pt>
                <c:pt idx="2">
                  <c:v>456.77</c:v>
                </c:pt>
                <c:pt idx="3">
                  <c:v>0</c:v>
                </c:pt>
                <c:pt idx="4">
                  <c:v>0</c:v>
                </c:pt>
                <c:pt idx="5">
                  <c:v>4848.6000000000004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VI° sett.'!$A$43</c:f>
              <c:strCache>
                <c:ptCount val="1"/>
                <c:pt idx="0">
                  <c:v>Entrate tributarie</c:v>
                </c:pt>
              </c:strCache>
            </c:strRef>
          </c:tx>
          <c:cat>
            <c:multiLvlStrRef>
              <c:f>'riep. VI°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sett.'!$B$43:$G$43</c:f>
              <c:numCache>
                <c:formatCode>_(* #,##0.00_);_(* \(#,##0.00\);_(* "-"??_);_(@_)</c:formatCode>
                <c:ptCount val="6"/>
                <c:pt idx="0">
                  <c:v>46542.67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VI° sett.'!$A$44</c:f>
              <c:strCache>
                <c:ptCount val="1"/>
                <c:pt idx="0">
                  <c:v>Segreteria Sindaco</c:v>
                </c:pt>
              </c:strCache>
            </c:strRef>
          </c:tx>
          <c:cat>
            <c:multiLvlStrRef>
              <c:f>'riep. VI°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sett.'!$B$44:$G$44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65603.789999999994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VI° sett.'!$A$45</c:f>
              <c:strCache>
                <c:ptCount val="1"/>
                <c:pt idx="0">
                  <c:v>Ufficio Comunicazione </c:v>
                </c:pt>
              </c:strCache>
            </c:strRef>
          </c:tx>
          <c:cat>
            <c:multiLvlStrRef>
              <c:f>'riep. VI° sett.'!$B$39:$G$40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sett.'!$B$45:$G$45</c:f>
              <c:numCache>
                <c:formatCode>_(* #,##0.00_);_(* \(#,##0.00\);_(* "-"??_);_(@_)</c:formatCode>
                <c:ptCount val="6"/>
                <c:pt idx="0">
                  <c:v>69284.86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15391</c:v>
                </c:pt>
                <c:pt idx="5">
                  <c:v>4520.74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57248"/>
        <c:axId val="131558784"/>
      </c:lineChart>
      <c:catAx>
        <c:axId val="131557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558784"/>
        <c:crosses val="autoZero"/>
        <c:auto val="1"/>
        <c:lblAlgn val="ctr"/>
        <c:lblOffset val="100"/>
        <c:noMultiLvlLbl val="0"/>
      </c:catAx>
      <c:valAx>
        <c:axId val="13155878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557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9587684518157"/>
          <c:y val="0.11142284158612402"/>
          <c:w val="0.58774551077154957"/>
          <c:h val="0.73845259958608289"/>
        </c:manualLayout>
      </c:layout>
      <c:lineChart>
        <c:grouping val="stacked"/>
        <c:varyColors val="0"/>
        <c:ser>
          <c:idx val="0"/>
          <c:order val="0"/>
          <c:tx>
            <c:strRef>
              <c:f>'riep. generale'!$A$8</c:f>
              <c:strCache>
                <c:ptCount val="1"/>
                <c:pt idx="0">
                  <c:v>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generale'!$B$8:$G$8</c:f>
              <c:numCache>
                <c:formatCode>_(* #,##0.00_);_(* \(#,##0.00\);_(* "-"??_);_(@_)</c:formatCode>
                <c:ptCount val="6"/>
                <c:pt idx="0">
                  <c:v>191016.19</c:v>
                </c:pt>
                <c:pt idx="1">
                  <c:v>2288.6099999999997</c:v>
                </c:pt>
                <c:pt idx="2">
                  <c:v>4659.66</c:v>
                </c:pt>
                <c:pt idx="3">
                  <c:v>0</c:v>
                </c:pt>
                <c:pt idx="4">
                  <c:v>0</c:v>
                </c:pt>
                <c:pt idx="5">
                  <c:v>11937.464999999998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generale'!$A$9</c:f>
              <c:strCache>
                <c:ptCount val="1"/>
                <c:pt idx="0">
                  <c:v>II°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generale'!$B$9:$G$9</c:f>
              <c:numCache>
                <c:formatCode>_(* #,##0.00_);_(* \(#,##0.00\);_(* "-"??_);_(@_)</c:formatCode>
                <c:ptCount val="6"/>
                <c:pt idx="0">
                  <c:v>114061.16</c:v>
                </c:pt>
                <c:pt idx="1">
                  <c:v>5658.09</c:v>
                </c:pt>
                <c:pt idx="2">
                  <c:v>149920.59</c:v>
                </c:pt>
                <c:pt idx="3">
                  <c:v>0</c:v>
                </c:pt>
                <c:pt idx="4">
                  <c:v>3991986.49</c:v>
                </c:pt>
                <c:pt idx="5">
                  <c:v>13651.87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generale'!$A$10</c:f>
              <c:strCache>
                <c:ptCount val="1"/>
                <c:pt idx="0">
                  <c:v>III°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generale'!$B$10:$G$10</c:f>
              <c:numCache>
                <c:formatCode>_(* #,##0.00_);_(* \(#,##0.00\);_(* "-"??_);_(@_)</c:formatCode>
                <c:ptCount val="6"/>
                <c:pt idx="0">
                  <c:v>138411.19</c:v>
                </c:pt>
                <c:pt idx="1">
                  <c:v>0</c:v>
                </c:pt>
                <c:pt idx="2">
                  <c:v>754.53</c:v>
                </c:pt>
                <c:pt idx="3">
                  <c:v>0</c:v>
                </c:pt>
                <c:pt idx="4">
                  <c:v>0</c:v>
                </c:pt>
                <c:pt idx="5">
                  <c:v>8500.32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generale'!$A$11</c:f>
              <c:strCache>
                <c:ptCount val="1"/>
                <c:pt idx="0">
                  <c:v>IV°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generale'!$B$11:$G$11</c:f>
              <c:numCache>
                <c:formatCode>_(* #,##0.00_);_(* \(#,##0.00\);_(* "-"??_);_(@_)</c:formatCode>
                <c:ptCount val="6"/>
                <c:pt idx="0">
                  <c:v>197155.7</c:v>
                </c:pt>
                <c:pt idx="1">
                  <c:v>15119.31</c:v>
                </c:pt>
                <c:pt idx="2">
                  <c:v>1891688.72</c:v>
                </c:pt>
                <c:pt idx="3">
                  <c:v>2022.66</c:v>
                </c:pt>
                <c:pt idx="4">
                  <c:v>2677.6</c:v>
                </c:pt>
                <c:pt idx="5">
                  <c:v>12474.594999999999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generale'!$A$12</c:f>
              <c:strCache>
                <c:ptCount val="1"/>
                <c:pt idx="0">
                  <c:v>V°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generale'!$B$12:$G$12</c:f>
              <c:numCache>
                <c:formatCode>_(* #,##0.00_);_(* \(#,##0.00\);_(* "-"??_);_(@_)</c:formatCode>
                <c:ptCount val="6"/>
                <c:pt idx="0">
                  <c:v>76431.63</c:v>
                </c:pt>
                <c:pt idx="1">
                  <c:v>0</c:v>
                </c:pt>
                <c:pt idx="2">
                  <c:v>937.75</c:v>
                </c:pt>
                <c:pt idx="3">
                  <c:v>0</c:v>
                </c:pt>
                <c:pt idx="4">
                  <c:v>0</c:v>
                </c:pt>
                <c:pt idx="5">
                  <c:v>4951.62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'riep. generale'!$A$13</c:f>
              <c:strCache>
                <c:ptCount val="1"/>
                <c:pt idx="0">
                  <c:v>VI°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generale'!$B$13:$G$13</c:f>
              <c:numCache>
                <c:formatCode>_(* #,##0.00_);_(* \(#,##0.00\);_(* "-"??_);_(@_)</c:formatCode>
                <c:ptCount val="6"/>
                <c:pt idx="0">
                  <c:v>324123.42999999993</c:v>
                </c:pt>
                <c:pt idx="1">
                  <c:v>0</c:v>
                </c:pt>
                <c:pt idx="2">
                  <c:v>107402.89499999999</c:v>
                </c:pt>
                <c:pt idx="3">
                  <c:v>2452.27</c:v>
                </c:pt>
                <c:pt idx="4">
                  <c:v>49405.17</c:v>
                </c:pt>
                <c:pt idx="5">
                  <c:v>22894.89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25248"/>
        <c:axId val="131126784"/>
      </c:lineChart>
      <c:catAx>
        <c:axId val="1311252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126784"/>
        <c:crosses val="autoZero"/>
        <c:auto val="1"/>
        <c:lblAlgn val="ctr"/>
        <c:lblOffset val="100"/>
        <c:noMultiLvlLbl val="1"/>
      </c:catAx>
      <c:valAx>
        <c:axId val="131126784"/>
        <c:scaling>
          <c:orientation val="minMax"/>
          <c:max val="400000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125248"/>
        <c:crosses val="autoZero"/>
        <c:crossBetween val="between"/>
        <c:majorUnit val="200000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539097216808297E-2"/>
          <c:y val="7.5057964593204698E-2"/>
          <c:w val="0.65284711286089236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6.058327486291936E-2"/>
                  <c:y val="-5.10357272674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4774823939086823E-3"/>
                  <c:y val="-4.4062500672131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235843663106468E-2"/>
                  <c:y val="-2.1971699513269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396663288376081"/>
                  <c:y val="0.1471695749334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0439801460461007"/>
                  <c:y val="-1.2826951492561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2883838777578546"/>
                  <c:y val="-1.2092984240943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'riep. generale'!$B$6:$G$7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generale'!$B$14:$G$14</c:f>
              <c:numCache>
                <c:formatCode>_(* #,##0.00_);_(* \(#,##0.00\);_(* "-"??_);_(@_)</c:formatCode>
                <c:ptCount val="6"/>
                <c:pt idx="0">
                  <c:v>1041199.2999999999</c:v>
                </c:pt>
                <c:pt idx="1">
                  <c:v>23066.01</c:v>
                </c:pt>
                <c:pt idx="2">
                  <c:v>2155364.145</c:v>
                </c:pt>
                <c:pt idx="3">
                  <c:v>4474.93</c:v>
                </c:pt>
                <c:pt idx="4">
                  <c:v>4044069.2600000002</c:v>
                </c:pt>
                <c:pt idx="5">
                  <c:v>74410.760000000009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'riep. generale'!$H$6:$H$7</c:f>
              <c:strCache>
                <c:ptCount val="1"/>
                <c:pt idx="0">
                  <c:v>Totale costi</c:v>
                </c:pt>
              </c:strCache>
            </c:strRef>
          </c:tx>
          <c:invertIfNegative val="0"/>
          <c:cat>
            <c:strRef>
              <c:f>'riep. generale'!$A$8:$A$13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generale'!$H$8:$H$13</c:f>
              <c:numCache>
                <c:formatCode>_(* #,##0.00_);_(* \(#,##0.00\);_(* "-"??_);_(@_)</c:formatCode>
                <c:ptCount val="6"/>
                <c:pt idx="0">
                  <c:v>209901.92499999999</c:v>
                </c:pt>
                <c:pt idx="1">
                  <c:v>4275278.2</c:v>
                </c:pt>
                <c:pt idx="2">
                  <c:v>147666.04</c:v>
                </c:pt>
                <c:pt idx="3">
                  <c:v>2121138.5850000004</c:v>
                </c:pt>
                <c:pt idx="4">
                  <c:v>82321</c:v>
                </c:pt>
                <c:pt idx="5">
                  <c:v>506278.65499999997</c:v>
                </c:pt>
              </c:numCache>
            </c:numRef>
          </c:val>
        </c:ser>
        <c:ser>
          <c:idx val="1"/>
          <c:order val="1"/>
          <c:tx>
            <c:strRef>
              <c:f>'riep. generale'!$I$6:$I$7</c:f>
              <c:strCache>
                <c:ptCount val="1"/>
                <c:pt idx="0">
                  <c:v>Totale ricavi</c:v>
                </c:pt>
              </c:strCache>
            </c:strRef>
          </c:tx>
          <c:invertIfNegative val="0"/>
          <c:cat>
            <c:strRef>
              <c:f>'riep. generale'!$A$8:$A$13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generale'!$I$8:$I$13</c:f>
              <c:numCache>
                <c:formatCode>_(* #,##0.00_);_(* \(#,##0.00\);_(* "-"??_);_(@_)</c:formatCode>
                <c:ptCount val="6"/>
                <c:pt idx="0">
                  <c:v>106167.31</c:v>
                </c:pt>
                <c:pt idx="1">
                  <c:v>3596481.0800000005</c:v>
                </c:pt>
                <c:pt idx="2">
                  <c:v>98970.16</c:v>
                </c:pt>
                <c:pt idx="3">
                  <c:v>59651.960000000006</c:v>
                </c:pt>
                <c:pt idx="4">
                  <c:v>5962.74</c:v>
                </c:pt>
                <c:pt idx="5">
                  <c:v>5915919.3099999987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31187456"/>
        <c:axId val="131188992"/>
        <c:axId val="0"/>
      </c:bar3DChart>
      <c:catAx>
        <c:axId val="131187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188992"/>
        <c:crosses val="autoZero"/>
        <c:auto val="1"/>
        <c:lblAlgn val="ctr"/>
        <c:lblOffset val="100"/>
        <c:noMultiLvlLbl val="0"/>
      </c:catAx>
      <c:valAx>
        <c:axId val="1311889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1187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9587684518157"/>
          <c:y val="0.11142284158612402"/>
          <c:w val="0.58774551077154957"/>
          <c:h val="0.73845259958608289"/>
        </c:manualLayout>
      </c:layout>
      <c:lineChart>
        <c:grouping val="stacked"/>
        <c:varyColors val="0"/>
        <c:ser>
          <c:idx val="0"/>
          <c:order val="0"/>
          <c:tx>
            <c:strRef>
              <c:f>'riep. generale'!$A$81</c:f>
              <c:strCache>
                <c:ptCount val="1"/>
                <c:pt idx="0">
                  <c:v>I°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generale'!$B$81:$G$81</c:f>
              <c:numCache>
                <c:formatCode>_(* #,##0.00_);_(* \(#,##0.00\);_(* "-"??_);_(@_)</c:formatCode>
                <c:ptCount val="6"/>
                <c:pt idx="0">
                  <c:v>216839.21999999997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generale'!$A$82</c:f>
              <c:strCache>
                <c:ptCount val="1"/>
                <c:pt idx="0">
                  <c:v>II°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generale'!$B$82:$G$82</c:f>
              <c:numCache>
                <c:formatCode>_(* #,##0.00_);_(* \(#,##0.00\);_(* "-"??_);_(@_)</c:formatCode>
                <c:ptCount val="6"/>
                <c:pt idx="0">
                  <c:v>158883.72999999998</c:v>
                </c:pt>
                <c:pt idx="1">
                  <c:v>464.6</c:v>
                </c:pt>
                <c:pt idx="2">
                  <c:v>13400.199999999999</c:v>
                </c:pt>
                <c:pt idx="3">
                  <c:v>0</c:v>
                </c:pt>
                <c:pt idx="4">
                  <c:v>0</c:v>
                </c:pt>
                <c:pt idx="5">
                  <c:v>9753.57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generale'!$A$83</c:f>
              <c:strCache>
                <c:ptCount val="1"/>
                <c:pt idx="0">
                  <c:v>III°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generale'!$B$83:$G$83</c:f>
              <c:numCache>
                <c:formatCode>_(* #,##0.00_);_(* \(#,##0.00\);_(* "-"??_);_(@_)</c:formatCode>
                <c:ptCount val="6"/>
                <c:pt idx="0">
                  <c:v>145929.66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9249.7100000000009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generale'!$A$84</c:f>
              <c:strCache>
                <c:ptCount val="1"/>
                <c:pt idx="0">
                  <c:v>IV°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generale'!$B$84:$G$84</c:f>
              <c:numCache>
                <c:formatCode>_(* #,##0.00_);_(* \(#,##0.00\);_(* "-"??_);_(@_)</c:formatCode>
                <c:ptCount val="6"/>
                <c:pt idx="0">
                  <c:v>188071.99</c:v>
                </c:pt>
                <c:pt idx="1">
                  <c:v>0</c:v>
                </c:pt>
                <c:pt idx="2">
                  <c:v>97975.08</c:v>
                </c:pt>
                <c:pt idx="3">
                  <c:v>0</c:v>
                </c:pt>
                <c:pt idx="4">
                  <c:v>0</c:v>
                </c:pt>
                <c:pt idx="5">
                  <c:v>11900.939999999999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generale'!$A$85</c:f>
              <c:strCache>
                <c:ptCount val="1"/>
                <c:pt idx="0">
                  <c:v>V°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generale'!$B$85:$G$85</c:f>
              <c:numCache>
                <c:formatCode>_(* #,##0.00_);_(* \(#,##0.00\);_(* "-"??_);_(@_)</c:formatCode>
                <c:ptCount val="6"/>
                <c:pt idx="0">
                  <c:v>85394.64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5475.5599999999995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'riep. generale'!$A$86</c:f>
              <c:strCache>
                <c:ptCount val="1"/>
                <c:pt idx="0">
                  <c:v>VI° settore</c:v>
                </c:pt>
              </c:strCache>
            </c:strRef>
          </c:tx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generale'!$B$86:$G$86</c:f>
              <c:numCache>
                <c:formatCode>_(* #,##0.00_);_(* \(#,##0.00\);_(* "-"??_);_(@_)</c:formatCode>
                <c:ptCount val="6"/>
                <c:pt idx="0">
                  <c:v>290217.48</c:v>
                </c:pt>
                <c:pt idx="1">
                  <c:v>0</c:v>
                </c:pt>
                <c:pt idx="2">
                  <c:v>67246.489999999991</c:v>
                </c:pt>
                <c:pt idx="3">
                  <c:v>0</c:v>
                </c:pt>
                <c:pt idx="4">
                  <c:v>15391</c:v>
                </c:pt>
                <c:pt idx="5">
                  <c:v>31000.899999999994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80960"/>
        <c:axId val="133082496"/>
      </c:lineChart>
      <c:catAx>
        <c:axId val="1330809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3082496"/>
        <c:crosses val="autoZero"/>
        <c:auto val="1"/>
        <c:lblAlgn val="ctr"/>
        <c:lblOffset val="100"/>
        <c:noMultiLvlLbl val="1"/>
      </c:catAx>
      <c:valAx>
        <c:axId val="133082496"/>
        <c:scaling>
          <c:orientation val="minMax"/>
          <c:max val="400000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3080960"/>
        <c:crosses val="autoZero"/>
        <c:crossBetween val="between"/>
        <c:majorUnit val="200000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846534370119619E-2"/>
          <c:y val="8.9818016290399136E-2"/>
          <c:w val="0.62792503740770711"/>
          <c:h val="0.86370766384829201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7.2334649757565345E-2"/>
                  <c:y val="8.004958789745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137284241338992E-2"/>
                  <c:y val="0.10845919167853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8689708179001177E-3"/>
                  <c:y val="-8.5932339638357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396663288376081"/>
                  <c:y val="0.1471695749334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1749290684458835E-2"/>
                  <c:y val="-7.18675848175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2245966917686692"/>
                  <c:y val="-3.5649824214777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'riep. generale'!$B$79:$G$80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generale'!$B$87:$G$87</c:f>
              <c:numCache>
                <c:formatCode>_(* #,##0.00_);_(* \(#,##0.00\);_(* "-"??_);_(@_)</c:formatCode>
                <c:ptCount val="6"/>
                <c:pt idx="0">
                  <c:v>1085336.72</c:v>
                </c:pt>
                <c:pt idx="1">
                  <c:v>464.6</c:v>
                </c:pt>
                <c:pt idx="2">
                  <c:v>178621.77</c:v>
                </c:pt>
                <c:pt idx="3">
                  <c:v>0</c:v>
                </c:pt>
                <c:pt idx="4">
                  <c:v>15391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'riep. generale'!$H$79</c:f>
              <c:strCache>
                <c:ptCount val="1"/>
                <c:pt idx="0">
                  <c:v>Totale costi</c:v>
                </c:pt>
              </c:strCache>
            </c:strRef>
          </c:tx>
          <c:invertIfNegative val="0"/>
          <c:cat>
            <c:strRef>
              <c:f>'riep. generale'!$A$81:$A$86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generale'!$H$80:$H$86</c:f>
              <c:numCache>
                <c:formatCode>_(* #,##0.00_);_(* \(#,##0.00\);_(* "-"??_);_(@_)</c:formatCode>
                <c:ptCount val="7"/>
                <c:pt idx="1">
                  <c:v>0</c:v>
                </c:pt>
                <c:pt idx="2">
                  <c:v>182502.1</c:v>
                </c:pt>
                <c:pt idx="3">
                  <c:v>155179.37</c:v>
                </c:pt>
                <c:pt idx="4">
                  <c:v>297948.01</c:v>
                </c:pt>
                <c:pt idx="5">
                  <c:v>90870.2</c:v>
                </c:pt>
                <c:pt idx="6">
                  <c:v>403855.87</c:v>
                </c:pt>
              </c:numCache>
            </c:numRef>
          </c:val>
        </c:ser>
        <c:ser>
          <c:idx val="1"/>
          <c:order val="1"/>
          <c:tx>
            <c:strRef>
              <c:f>'riep. generale'!$I$79</c:f>
              <c:strCache>
                <c:ptCount val="1"/>
                <c:pt idx="0">
                  <c:v>Totale ricavi</c:v>
                </c:pt>
              </c:strCache>
            </c:strRef>
          </c:tx>
          <c:invertIfNegative val="0"/>
          <c:cat>
            <c:strRef>
              <c:f>'riep. generale'!$A$81:$A$86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generale'!$I$80:$I$86</c:f>
              <c:numCache>
                <c:formatCode>_(* #,##0.00_);_(* \(#,##0.00\);_(* "-"??_);_(@_)</c:formatCode>
                <c:ptCount val="7"/>
                <c:pt idx="1">
                  <c:v>11775.550000000001</c:v>
                </c:pt>
                <c:pt idx="2">
                  <c:v>5129189.93</c:v>
                </c:pt>
                <c:pt idx="3">
                  <c:v>14821.549999999996</c:v>
                </c:pt>
                <c:pt idx="4">
                  <c:v>25414.61</c:v>
                </c:pt>
                <c:pt idx="5">
                  <c:v>0</c:v>
                </c:pt>
                <c:pt idx="6">
                  <c:v>4568882.32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33020288"/>
        <c:axId val="133022080"/>
        <c:axId val="0"/>
      </c:bar3DChart>
      <c:catAx>
        <c:axId val="133020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3022080"/>
        <c:crosses val="autoZero"/>
        <c:auto val="1"/>
        <c:lblAlgn val="ctr"/>
        <c:lblOffset val="100"/>
        <c:noMultiLvlLbl val="0"/>
      </c:catAx>
      <c:valAx>
        <c:axId val="133022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30202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'riep I° sett.'!$A$42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sett.'!$B$42:$G$42</c:f>
              <c:numCache>
                <c:formatCode>_(* #,##0.00_);_(* \(#,##0.00\);_(* "-"??_);_(@_)</c:formatCode>
                <c:ptCount val="6"/>
                <c:pt idx="0">
                  <c:v>37841.49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2436.1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'riep I° sett.'!$A$43</c:f>
              <c:strCache>
                <c:ptCount val="1"/>
                <c:pt idx="0">
                  <c:v>ufficio relazioni con il pubblico</c:v>
                </c:pt>
              </c:strCache>
            </c:strRef>
          </c:tx>
          <c:cat>
            <c:multiLvlStrRef>
              <c:f>'riep I°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sett.'!$B$43:$G$43</c:f>
              <c:numCache>
                <c:formatCode>_(* #,##0.00_);_(* \(#,##0.00\);_(* "-"??_);_(@_)</c:formatCode>
                <c:ptCount val="6"/>
                <c:pt idx="0">
                  <c:v>146260.22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'riep I° sett.'!$A$44</c:f>
              <c:strCache>
                <c:ptCount val="1"/>
                <c:pt idx="0">
                  <c:v>commercio</c:v>
                </c:pt>
              </c:strCache>
            </c:strRef>
          </c:tx>
          <c:cat>
            <c:multiLvlStrRef>
              <c:f>'riep I°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sett.'!$B$44:$G$44</c:f>
              <c:numCache>
                <c:formatCode>_(* #,##0.00_);_(* \(#,##0.00\);_(* "-"??_);_(@_)</c:formatCode>
                <c:ptCount val="6"/>
                <c:pt idx="0">
                  <c:v>14331.68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908.31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'riep I° sett.'!$A$45</c:f>
              <c:strCache>
                <c:ptCount val="1"/>
                <c:pt idx="0">
                  <c:v>sportello unico</c:v>
                </c:pt>
              </c:strCache>
            </c:strRef>
          </c:tx>
          <c:cat>
            <c:multiLvlStrRef>
              <c:f>'riep I°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sett.'!$B$45:$G$45</c:f>
              <c:numCache>
                <c:formatCode>_(* #,##0.00_);_(* \(#,##0.00\);_(* "-"??_);_(@_)</c:formatCode>
                <c:ptCount val="6"/>
                <c:pt idx="0">
                  <c:v>18405.830000000002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1236.97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62176"/>
        <c:axId val="30563712"/>
      </c:lineChart>
      <c:catAx>
        <c:axId val="30562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0563712"/>
        <c:crosses val="autoZero"/>
        <c:auto val="1"/>
        <c:lblAlgn val="ctr"/>
        <c:lblOffset val="100"/>
        <c:noMultiLvlLbl val="0"/>
      </c:catAx>
      <c:valAx>
        <c:axId val="3056371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0562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sett.'!$B$9:$G$9</c:f>
              <c:numCache>
                <c:formatCode>_(* #,##0.00_);_(* \(#,##0.00\);_(* "-"??_);_(@_)</c:formatCode>
                <c:ptCount val="6"/>
                <c:pt idx="0">
                  <c:v>35652.239999999998</c:v>
                </c:pt>
                <c:pt idx="1">
                  <c:v>0</c:v>
                </c:pt>
                <c:pt idx="2">
                  <c:v>440.44</c:v>
                </c:pt>
                <c:pt idx="3">
                  <c:v>0</c:v>
                </c:pt>
                <c:pt idx="4">
                  <c:v>0</c:v>
                </c:pt>
                <c:pt idx="5">
                  <c:v>2353.6799999999998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II° sett.'!$A$10</c:f>
              <c:strCache>
                <c:ptCount val="1"/>
                <c:pt idx="0">
                  <c:v>Ragioneria e controllo di gestione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sett.'!$B$10:$G$10</c:f>
              <c:numCache>
                <c:formatCode>_(* #,##0.00_);_(* \(#,##0.00\);_(* "-"??_);_(@_)</c:formatCode>
                <c:ptCount val="6"/>
                <c:pt idx="0">
                  <c:v>27114.68</c:v>
                </c:pt>
                <c:pt idx="1">
                  <c:v>560</c:v>
                </c:pt>
                <c:pt idx="2">
                  <c:v>105253.82</c:v>
                </c:pt>
                <c:pt idx="3">
                  <c:v>0</c:v>
                </c:pt>
                <c:pt idx="4">
                  <c:v>0</c:v>
                </c:pt>
                <c:pt idx="5">
                  <c:v>4353.09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II° sett.'!$A$11</c:f>
              <c:strCache>
                <c:ptCount val="1"/>
                <c:pt idx="0">
                  <c:v>Gestione fin. Serv. Decentrati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sett.'!$B$11:$G$11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3991986.49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II° sett.'!$A$12</c:f>
              <c:strCache>
                <c:ptCount val="1"/>
                <c:pt idx="0">
                  <c:v>Amministrazione del patrimonio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sett.'!$B$12:$G$12</c:f>
              <c:numCache>
                <c:formatCode>_(* #,##0.00_);_(* \(#,##0.00\);_(* "-"??_);_(@_)</c:formatCode>
                <c:ptCount val="6"/>
                <c:pt idx="0">
                  <c:v>51294.239999999998</c:v>
                </c:pt>
                <c:pt idx="1">
                  <c:v>20</c:v>
                </c:pt>
                <c:pt idx="2">
                  <c:v>44175.25</c:v>
                </c:pt>
                <c:pt idx="3">
                  <c:v>0</c:v>
                </c:pt>
                <c:pt idx="4">
                  <c:v>0</c:v>
                </c:pt>
                <c:pt idx="5">
                  <c:v>6945.1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II° sett.'!$A$13</c:f>
              <c:strCache>
                <c:ptCount val="1"/>
                <c:pt idx="0">
                  <c:v>Piccoli acquisti e gest. Document.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sett.'!$B$13:$G$13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5078.09</c:v>
                </c:pt>
                <c:pt idx="2">
                  <c:v>51.08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2112"/>
        <c:axId val="35403648"/>
      </c:lineChart>
      <c:catAx>
        <c:axId val="35402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5403648"/>
        <c:crosses val="autoZero"/>
        <c:auto val="1"/>
        <c:lblAlgn val="ctr"/>
        <c:lblOffset val="100"/>
        <c:noMultiLvlLbl val="0"/>
      </c:catAx>
      <c:valAx>
        <c:axId val="3540364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5402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II° sett.'!$A$42</c:f>
              <c:strCache>
                <c:ptCount val="1"/>
                <c:pt idx="0">
                  <c:v>Dirigenza</c:v>
                </c:pt>
              </c:strCache>
            </c:strRef>
          </c:tx>
          <c:cat>
            <c:strRef>
              <c:f>'riep II° sett.'!$B$40:$G$41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 II° sett.'!$B$42:$G$42</c:f>
              <c:numCache>
                <c:formatCode>_(* #,##0.00_);_(* \(#,##0.00\);_(* "-"??_);_(@_)</c:formatCode>
                <c:ptCount val="6"/>
                <c:pt idx="0">
                  <c:v>40088.85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2566.1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II° sett.'!$A$43</c:f>
              <c:strCache>
                <c:ptCount val="1"/>
                <c:pt idx="0">
                  <c:v>Ragioneria e controllo di gestione</c:v>
                </c:pt>
              </c:strCache>
            </c:strRef>
          </c:tx>
          <c:cat>
            <c:strRef>
              <c:f>'riep II° sett.'!$B$40:$G$41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 II° sett.'!$B$43:$G$43</c:f>
              <c:numCache>
                <c:formatCode>_(* #,##0.00_);_(* \(#,##0.00\);_(* "-"??_);_(@_)</c:formatCode>
                <c:ptCount val="6"/>
                <c:pt idx="0">
                  <c:v>31424.15</c:v>
                </c:pt>
                <c:pt idx="1">
                  <c:v>0</c:v>
                </c:pt>
                <c:pt idx="2">
                  <c:v>12803.98</c:v>
                </c:pt>
                <c:pt idx="3">
                  <c:v>0</c:v>
                </c:pt>
                <c:pt idx="4">
                  <c:v>0</c:v>
                </c:pt>
                <c:pt idx="5">
                  <c:v>1324.11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II° sett.'!$A$44</c:f>
              <c:strCache>
                <c:ptCount val="1"/>
                <c:pt idx="0">
                  <c:v>Gestione fin. Serv. Decentrati</c:v>
                </c:pt>
              </c:strCache>
            </c:strRef>
          </c:tx>
          <c:cat>
            <c:strRef>
              <c:f>'riep II° sett.'!$B$40:$G$41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 II° sett.'!$B$44:$G$44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II° sett.'!$A$45</c:f>
              <c:strCache>
                <c:ptCount val="1"/>
                <c:pt idx="0">
                  <c:v>Amministrazione del patrimonio</c:v>
                </c:pt>
              </c:strCache>
            </c:strRef>
          </c:tx>
          <c:cat>
            <c:strRef>
              <c:f>'riep II° sett.'!$B$40:$G$41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 II° sett.'!$B$45:$G$45</c:f>
              <c:numCache>
                <c:formatCode>_(* #,##0.00_);_(* \(#,##0.00\);_(* "-"??_);_(@_)</c:formatCode>
                <c:ptCount val="6"/>
                <c:pt idx="0">
                  <c:v>87370.73</c:v>
                </c:pt>
                <c:pt idx="1">
                  <c:v>0</c:v>
                </c:pt>
                <c:pt idx="2">
                  <c:v>596.22</c:v>
                </c:pt>
                <c:pt idx="3">
                  <c:v>0</c:v>
                </c:pt>
                <c:pt idx="4">
                  <c:v>0</c:v>
                </c:pt>
                <c:pt idx="5">
                  <c:v>5863.36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II° sett.'!$A$46</c:f>
              <c:strCache>
                <c:ptCount val="1"/>
                <c:pt idx="0">
                  <c:v>Piccoli acquisti e gest. Document.</c:v>
                </c:pt>
              </c:strCache>
            </c:strRef>
          </c:tx>
          <c:cat>
            <c:strRef>
              <c:f>'riep II° sett.'!$B$40:$G$41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 II° sett.'!$B$46:$G$46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464.6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9360"/>
        <c:axId val="35440896"/>
      </c:lineChart>
      <c:catAx>
        <c:axId val="35439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5440896"/>
        <c:crosses val="autoZero"/>
        <c:auto val="1"/>
        <c:lblAlgn val="ctr"/>
        <c:lblOffset val="100"/>
        <c:noMultiLvlLbl val="0"/>
      </c:catAx>
      <c:valAx>
        <c:axId val="3544089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5439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III° sett. '!$A$9</c:f>
              <c:strCache>
                <c:ptCount val="1"/>
                <c:pt idx="0">
                  <c:v>Dirigenza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'!$B$9:$G$9</c:f>
              <c:numCache>
                <c:formatCode>_(* #,##0.00_);_(* \(#,##0.00\);_(* "-"??_);_(@_)</c:formatCode>
                <c:ptCount val="6"/>
                <c:pt idx="0">
                  <c:v>48069.31</c:v>
                </c:pt>
                <c:pt idx="1">
                  <c:v>0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2997.3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III° sett. '!$A$10</c:f>
              <c:strCache>
                <c:ptCount val="1"/>
                <c:pt idx="0">
                  <c:v>Immobili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'!$B$10:$G$10</c:f>
              <c:numCache>
                <c:formatCode>_(* #,##0.00_);_(* \(#,##0.00\);_(* "-"??_);_(@_)</c:formatCode>
                <c:ptCount val="6"/>
                <c:pt idx="0">
                  <c:v>30381.32</c:v>
                </c:pt>
                <c:pt idx="1">
                  <c:v>0</c:v>
                </c:pt>
                <c:pt idx="2">
                  <c:v>634.53</c:v>
                </c:pt>
                <c:pt idx="3">
                  <c:v>0</c:v>
                </c:pt>
                <c:pt idx="4">
                  <c:v>0</c:v>
                </c:pt>
                <c:pt idx="5">
                  <c:v>1884.96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III° sett. '!$A$11</c:f>
              <c:strCache>
                <c:ptCount val="1"/>
                <c:pt idx="0">
                  <c:v>Edilizia privata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'!$B$11:$G$11</c:f>
              <c:numCache>
                <c:formatCode>_(* #,##0.00_);_(* \(#,##0.00\);_(* "-"??_);_(@_)</c:formatCode>
                <c:ptCount val="6"/>
                <c:pt idx="0">
                  <c:v>59960.56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3618.06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97056"/>
        <c:axId val="34798592"/>
      </c:lineChart>
      <c:catAx>
        <c:axId val="34797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4798592"/>
        <c:crosses val="autoZero"/>
        <c:auto val="1"/>
        <c:lblAlgn val="ctr"/>
        <c:lblOffset val="100"/>
        <c:noMultiLvlLbl val="0"/>
      </c:catAx>
      <c:valAx>
        <c:axId val="34798592"/>
        <c:scaling>
          <c:orientation val="minMax"/>
          <c:max val="76000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4797056"/>
        <c:crosses val="autoZero"/>
        <c:crossBetween val="between"/>
        <c:majorUnit val="5000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III° sett. '!$A$41</c:f>
              <c:strCache>
                <c:ptCount val="1"/>
                <c:pt idx="0">
                  <c:v>Dirigenza</c:v>
                </c:pt>
              </c:strCache>
            </c:strRef>
          </c:tx>
          <c:marker>
            <c:symbol val="none"/>
          </c:marker>
          <c:cat>
            <c:multiLvlStrRef>
              <c:f>'riep III° sett. 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'!$B$41:$G$41</c:f>
              <c:numCache>
                <c:formatCode>_(* #,##0.00_);_(* \(#,##0.00\);_(* "-"??_);_(@_)</c:formatCode>
                <c:ptCount val="6"/>
                <c:pt idx="0">
                  <c:v>50929.3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3267.65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III° sett. '!$A$42</c:f>
              <c:strCache>
                <c:ptCount val="1"/>
                <c:pt idx="0">
                  <c:v>Immobili</c:v>
                </c:pt>
              </c:strCache>
            </c:strRef>
          </c:tx>
          <c:marker>
            <c:symbol val="none"/>
          </c:marker>
          <c:cat>
            <c:multiLvlStrRef>
              <c:f>'riep III° sett. 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'!$B$42:$G$42</c:f>
              <c:numCache>
                <c:formatCode>_(* #,##0.00_);_(* \(#,##0.00\);_(* "-"??_);_(@_)</c:formatCode>
                <c:ptCount val="6"/>
                <c:pt idx="0">
                  <c:v>31932.59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2050.8000000000002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III° sett. '!$A$43</c:f>
              <c:strCache>
                <c:ptCount val="1"/>
                <c:pt idx="0">
                  <c:v>Edilizia privata</c:v>
                </c:pt>
              </c:strCache>
            </c:strRef>
          </c:tx>
          <c:marker>
            <c:symbol val="none"/>
          </c:marker>
          <c:cat>
            <c:multiLvlStrRef>
              <c:f>'riep III° sett. '!$B$39:$G$40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'!$B$43:$G$43</c:f>
              <c:numCache>
                <c:formatCode>_(* #,##0.00_);_(* \(#,##0.00\);_(* "-"??_);_(@_)</c:formatCode>
                <c:ptCount val="6"/>
                <c:pt idx="0">
                  <c:v>63067.77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3931.26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53248"/>
        <c:axId val="34854784"/>
      </c:lineChart>
      <c:catAx>
        <c:axId val="34853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4854784"/>
        <c:crosses val="autoZero"/>
        <c:auto val="1"/>
        <c:lblAlgn val="ctr"/>
        <c:lblOffset val="100"/>
        <c:noMultiLvlLbl val="0"/>
      </c:catAx>
      <c:valAx>
        <c:axId val="34854784"/>
        <c:scaling>
          <c:orientation val="minMax"/>
          <c:max val="76000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34853248"/>
        <c:crosses val="autoZero"/>
        <c:crossBetween val="between"/>
        <c:majorUnit val="5000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IV°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sett.'!$B$9:$G$9</c:f>
              <c:numCache>
                <c:formatCode>_(* #,##0.00_);_(* \(#,##0.00\);_(* "-"??_);_(@_)</c:formatCode>
                <c:ptCount val="6"/>
                <c:pt idx="0">
                  <c:v>104379.6</c:v>
                </c:pt>
                <c:pt idx="1">
                  <c:v>0</c:v>
                </c:pt>
                <c:pt idx="2">
                  <c:v>5.88</c:v>
                </c:pt>
                <c:pt idx="3">
                  <c:v>0</c:v>
                </c:pt>
                <c:pt idx="4">
                  <c:v>0</c:v>
                </c:pt>
                <c:pt idx="5">
                  <c:v>6121.07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IV° sett.'!$A$10</c:f>
              <c:strCache>
                <c:ptCount val="1"/>
                <c:pt idx="0">
                  <c:v>Verde ed arredo urbano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sett.'!$B$10:$G$10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26100.98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IV° sett.'!$A$11</c:f>
              <c:strCache>
                <c:ptCount val="1"/>
                <c:pt idx="0">
                  <c:v>Illuminazione pubblica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sett.'!$B$11:$G$11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199728.32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IV° sett.'!$A$12</c:f>
              <c:strCache>
                <c:ptCount val="1"/>
                <c:pt idx="0">
                  <c:v>Nettezza urbana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sett.'!$B$12:$G$12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1618793.58</c:v>
                </c:pt>
                <c:pt idx="3">
                  <c:v>0</c:v>
                </c:pt>
                <c:pt idx="4">
                  <c:v>2677.6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IV° sett.'!$A$13</c:f>
              <c:strCache>
                <c:ptCount val="1"/>
                <c:pt idx="0">
                  <c:v>Strade e segnaletica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sett.'!$B$13:$G$13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25830.240000000002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 IV° sett.'!$A$14</c:f>
              <c:strCache>
                <c:ptCount val="1"/>
                <c:pt idx="0">
                  <c:v>Risorse strumentali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sett.'!$B$14:$G$14</c:f>
              <c:numCache>
                <c:formatCode>_(* #,##0.00_);_(* \(#,##0.00\);_(* "-"??_);_(@_)</c:formatCode>
                <c:ptCount val="6"/>
                <c:pt idx="0">
                  <c:v>92776.1</c:v>
                </c:pt>
                <c:pt idx="1">
                  <c:v>15119.31</c:v>
                </c:pt>
                <c:pt idx="2">
                  <c:v>21229.72</c:v>
                </c:pt>
                <c:pt idx="3">
                  <c:v>2022.66</c:v>
                </c:pt>
                <c:pt idx="4">
                  <c:v>0</c:v>
                </c:pt>
                <c:pt idx="5">
                  <c:v>6353.5249999999996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03680"/>
        <c:axId val="88905216"/>
      </c:lineChart>
      <c:catAx>
        <c:axId val="88903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8905216"/>
        <c:crosses val="autoZero"/>
        <c:auto val="1"/>
        <c:lblAlgn val="ctr"/>
        <c:lblOffset val="100"/>
        <c:noMultiLvlLbl val="0"/>
      </c:catAx>
      <c:valAx>
        <c:axId val="8890521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890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IV° sett.'!$A$42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sett.'!$B$42:$G$42</c:f>
              <c:numCache>
                <c:formatCode>_(* #,##0.00_);_(* \(#,##0.00\);_(* "-"??_);_(@_)</c:formatCode>
                <c:ptCount val="6"/>
                <c:pt idx="0">
                  <c:v>88519.37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5753.71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IV° sett.'!$A$43</c:f>
              <c:strCache>
                <c:ptCount val="1"/>
                <c:pt idx="0">
                  <c:v>Verde ed arredo urbano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sett.'!$B$43:$G$43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29685.439999999999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IV° sett.'!$A$44</c:f>
              <c:strCache>
                <c:ptCount val="1"/>
                <c:pt idx="0">
                  <c:v>Illuminazione pubblica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sett.'!$B$44:$G$44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IV° sett.'!$A$45</c:f>
              <c:strCache>
                <c:ptCount val="1"/>
                <c:pt idx="0">
                  <c:v>Nettezza urbana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sett.'!$B$45:$G$45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3675.98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IV° sett.'!$A$46</c:f>
              <c:strCache>
                <c:ptCount val="1"/>
                <c:pt idx="0">
                  <c:v>Strade e segnaletica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sett.'!$B$46:$G$46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 IV° sett.'!$A$47</c:f>
              <c:strCache>
                <c:ptCount val="1"/>
                <c:pt idx="0">
                  <c:v>Risorse strumentali</c:v>
                </c:pt>
              </c:strCache>
            </c:strRef>
          </c:tx>
          <c:cat>
            <c:multiLvlStrRef>
              <c:f>'riep IV° sett.'!$B$40:$G$41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sett.'!$B$47:$G$47</c:f>
              <c:numCache>
                <c:formatCode>_(* #,##0.00_);_(* \(#,##0.00\);_(* "-"??_);_(@_)</c:formatCode>
                <c:ptCount val="6"/>
                <c:pt idx="0">
                  <c:v>99552.62</c:v>
                </c:pt>
                <c:pt idx="1">
                  <c:v>0</c:v>
                </c:pt>
                <c:pt idx="2">
                  <c:v>1883.5</c:v>
                </c:pt>
                <c:pt idx="3">
                  <c:v>0</c:v>
                </c:pt>
                <c:pt idx="4">
                  <c:v>0</c:v>
                </c:pt>
                <c:pt idx="5">
                  <c:v>6147.23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84288"/>
        <c:axId val="124290176"/>
      </c:lineChart>
      <c:catAx>
        <c:axId val="124284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290176"/>
        <c:crosses val="autoZero"/>
        <c:auto val="1"/>
        <c:lblAlgn val="ctr"/>
        <c:lblOffset val="100"/>
        <c:noMultiLvlLbl val="0"/>
      </c:catAx>
      <c:valAx>
        <c:axId val="12429017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284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 V°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sett.'!$B$9:$G$9</c:f>
              <c:numCache>
                <c:formatCode>_(* #,##0.00_);_(* \(#,##0.00\);_(* "-"??_);_(@_)</c:formatCode>
                <c:ptCount val="6"/>
                <c:pt idx="0">
                  <c:v>45911.28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3042.18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V° sett.'!$A$10</c:f>
              <c:strCache>
                <c:ptCount val="1"/>
                <c:pt idx="0">
                  <c:v>Urbanistica</c:v>
                </c:pt>
              </c:strCache>
            </c:strRef>
          </c:tx>
          <c:cat>
            <c:multiLvlStrRef>
              <c:f>'riep 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sett.'!$B$10:$G$10</c:f>
              <c:numCache>
                <c:formatCode>_(* #,##0.00_);_(* \(#,##0.00\);_(* "-"??_);_(@_)</c:formatCode>
                <c:ptCount val="6"/>
                <c:pt idx="0">
                  <c:v>30520.35</c:v>
                </c:pt>
                <c:pt idx="1">
                  <c:v>0</c:v>
                </c:pt>
                <c:pt idx="2">
                  <c:v>937.75</c:v>
                </c:pt>
                <c:pt idx="3">
                  <c:v>0</c:v>
                </c:pt>
                <c:pt idx="4">
                  <c:v>0</c:v>
                </c:pt>
                <c:pt idx="5">
                  <c:v>1909.44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92256"/>
        <c:axId val="124193792"/>
      </c:lineChart>
      <c:catAx>
        <c:axId val="124192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193792"/>
        <c:crosses val="autoZero"/>
        <c:auto val="1"/>
        <c:lblAlgn val="ctr"/>
        <c:lblOffset val="100"/>
        <c:noMultiLvlLbl val="0"/>
      </c:catAx>
      <c:valAx>
        <c:axId val="1241937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4192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91889</xdr:colOff>
      <xdr:row>6</xdr:row>
      <xdr:rowOff>11206</xdr:rowOff>
    </xdr:from>
    <xdr:to>
      <xdr:col>10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82771" y="1064559"/>
          <a:ext cx="0" cy="109817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13</xdr:row>
      <xdr:rowOff>0</xdr:rowOff>
    </xdr:from>
    <xdr:to>
      <xdr:col>2</xdr:col>
      <xdr:colOff>295275</xdr:colOff>
      <xdr:row>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38225" y="2143125"/>
          <a:ext cx="0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0</xdr:rowOff>
    </xdr:from>
    <xdr:to>
      <xdr:col>6</xdr:col>
      <xdr:colOff>291353</xdr:colOff>
      <xdr:row>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98401" y="2151529"/>
          <a:ext cx="15128" cy="324971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870136</xdr:colOff>
      <xdr:row>13</xdr:row>
      <xdr:rowOff>0</xdr:rowOff>
    </xdr:from>
    <xdr:to>
      <xdr:col>9</xdr:col>
      <xdr:colOff>870136</xdr:colOff>
      <xdr:row>14</xdr:row>
      <xdr:rowOff>161925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4915460" y="2173941"/>
          <a:ext cx="0" cy="31880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13</xdr:row>
      <xdr:rowOff>9524</xdr:rowOff>
    </xdr:from>
    <xdr:to>
      <xdr:col>16</xdr:col>
      <xdr:colOff>728382</xdr:colOff>
      <xdr:row>13</xdr:row>
      <xdr:rowOff>11206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1034863" y="2161053"/>
          <a:ext cx="9050431" cy="1682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896469</xdr:colOff>
      <xdr:row>13</xdr:row>
      <xdr:rowOff>22412</xdr:rowOff>
    </xdr:from>
    <xdr:to>
      <xdr:col>11</xdr:col>
      <xdr:colOff>896470</xdr:colOff>
      <xdr:row>14</xdr:row>
      <xdr:rowOff>134471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H="1">
          <a:off x="6577851" y="2173941"/>
          <a:ext cx="1" cy="268942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672353</xdr:colOff>
      <xdr:row>13</xdr:row>
      <xdr:rowOff>11206</xdr:rowOff>
    </xdr:from>
    <xdr:to>
      <xdr:col>14</xdr:col>
      <xdr:colOff>672353</xdr:colOff>
      <xdr:row>14</xdr:row>
      <xdr:rowOff>145676</xdr:rowOff>
    </xdr:to>
    <xdr:cxnSp macro="">
      <xdr:nvCxnSpPr>
        <xdr:cNvPr id="10" name="Connettore 1 9"/>
        <xdr:cNvCxnSpPr/>
      </xdr:nvCxnSpPr>
      <xdr:spPr>
        <a:xfrm>
          <a:off x="8393206" y="2162735"/>
          <a:ext cx="0" cy="291353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728382</xdr:colOff>
      <xdr:row>13</xdr:row>
      <xdr:rowOff>11206</xdr:rowOff>
    </xdr:from>
    <xdr:to>
      <xdr:col>16</xdr:col>
      <xdr:colOff>739588</xdr:colOff>
      <xdr:row>15</xdr:row>
      <xdr:rowOff>11206</xdr:rowOff>
    </xdr:to>
    <xdr:cxnSp macro="">
      <xdr:nvCxnSpPr>
        <xdr:cNvPr id="12" name="Connettore 1 11"/>
        <xdr:cNvCxnSpPr/>
      </xdr:nvCxnSpPr>
      <xdr:spPr>
        <a:xfrm>
          <a:off x="10085294" y="2162735"/>
          <a:ext cx="11206" cy="324971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657225</xdr:colOff>
      <xdr:row>13</xdr:row>
      <xdr:rowOff>11206</xdr:rowOff>
    </xdr:from>
    <xdr:to>
      <xdr:col>5</xdr:col>
      <xdr:colOff>661147</xdr:colOff>
      <xdr:row>14</xdr:row>
      <xdr:rowOff>156883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75990" y="2185147"/>
          <a:ext cx="3922" cy="30256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1038224</xdr:colOff>
      <xdr:row>13</xdr:row>
      <xdr:rowOff>22412</xdr:rowOff>
    </xdr:from>
    <xdr:to>
      <xdr:col>7</xdr:col>
      <xdr:colOff>1038224</xdr:colOff>
      <xdr:row>15</xdr:row>
      <xdr:rowOff>16249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4893048" y="2196353"/>
          <a:ext cx="0" cy="31880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661149</xdr:colOff>
      <xdr:row>13</xdr:row>
      <xdr:rowOff>0</xdr:rowOff>
    </xdr:from>
    <xdr:to>
      <xdr:col>7</xdr:col>
      <xdr:colOff>1053352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2879914" y="2173941"/>
          <a:ext cx="2028262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128587</xdr:rowOff>
    </xdr:from>
    <xdr:to>
      <xdr:col>9</xdr:col>
      <xdr:colOff>171450</xdr:colOff>
      <xdr:row>32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133350</xdr:colOff>
      <xdr:row>66</xdr:row>
      <xdr:rowOff>4763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0</xdr:rowOff>
    </xdr:from>
    <xdr:to>
      <xdr:col>12</xdr:col>
      <xdr:colOff>705971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1075766" y="2173941"/>
          <a:ext cx="6970058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717176</xdr:colOff>
      <xdr:row>13</xdr:row>
      <xdr:rowOff>0</xdr:rowOff>
    </xdr:from>
    <xdr:to>
      <xdr:col>12</xdr:col>
      <xdr:colOff>728382</xdr:colOff>
      <xdr:row>15</xdr:row>
      <xdr:rowOff>11206</xdr:rowOff>
    </xdr:to>
    <xdr:cxnSp macro="">
      <xdr:nvCxnSpPr>
        <xdr:cNvPr id="9" name="Connettore 1 8"/>
        <xdr:cNvCxnSpPr/>
      </xdr:nvCxnSpPr>
      <xdr:spPr>
        <a:xfrm>
          <a:off x="8057029" y="2173941"/>
          <a:ext cx="11206" cy="336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61912</xdr:rowOff>
    </xdr:from>
    <xdr:to>
      <xdr:col>8</xdr:col>
      <xdr:colOff>581025</xdr:colOff>
      <xdr:row>33</xdr:row>
      <xdr:rowOff>9525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552450</xdr:colOff>
      <xdr:row>66</xdr:row>
      <xdr:rowOff>109538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15</xdr:row>
      <xdr:rowOff>23812</xdr:rowOff>
    </xdr:from>
    <xdr:to>
      <xdr:col>8</xdr:col>
      <xdr:colOff>28575</xdr:colOff>
      <xdr:row>33</xdr:row>
      <xdr:rowOff>47625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409576</xdr:colOff>
      <xdr:row>37</xdr:row>
      <xdr:rowOff>19050</xdr:rowOff>
    </xdr:from>
    <xdr:to>
      <xdr:col>6</xdr:col>
      <xdr:colOff>295276</xdr:colOff>
      <xdr:row>53</xdr:row>
      <xdr:rowOff>9525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54</xdr:row>
      <xdr:rowOff>61911</xdr:rowOff>
    </xdr:from>
    <xdr:to>
      <xdr:col>6</xdr:col>
      <xdr:colOff>247650</xdr:colOff>
      <xdr:row>71</xdr:row>
      <xdr:rowOff>76199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89</xdr:row>
      <xdr:rowOff>85725</xdr:rowOff>
    </xdr:from>
    <xdr:to>
      <xdr:col>7</xdr:col>
      <xdr:colOff>685801</xdr:colOff>
      <xdr:row>107</xdr:row>
      <xdr:rowOff>109538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110</xdr:row>
      <xdr:rowOff>85725</xdr:rowOff>
    </xdr:from>
    <xdr:to>
      <xdr:col>6</xdr:col>
      <xdr:colOff>85725</xdr:colOff>
      <xdr:row>126</xdr:row>
      <xdr:rowOff>76200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129</xdr:row>
      <xdr:rowOff>0</xdr:rowOff>
    </xdr:from>
    <xdr:to>
      <xdr:col>5</xdr:col>
      <xdr:colOff>638175</xdr:colOff>
      <xdr:row>146</xdr:row>
      <xdr:rowOff>14288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97339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914650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4927786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10</xdr:col>
      <xdr:colOff>672353</xdr:colOff>
      <xdr:row>13</xdr:row>
      <xdr:rowOff>11206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2902324" y="2185147"/>
          <a:ext cx="5490882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7" name="Line 8"/>
        <xdr:cNvSpPr>
          <a:spLocks noChangeShapeType="1"/>
        </xdr:cNvSpPr>
      </xdr:nvSpPr>
      <xdr:spPr bwMode="auto">
        <a:xfrm flipH="1">
          <a:off x="6592419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8" name="Connettore 1 7"/>
        <xdr:cNvCxnSpPr/>
      </xdr:nvCxnSpPr>
      <xdr:spPr>
        <a:xfrm>
          <a:off x="8406653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13</xdr:row>
      <xdr:rowOff>128586</xdr:rowOff>
    </xdr:from>
    <xdr:to>
      <xdr:col>9</xdr:col>
      <xdr:colOff>342899</xdr:colOff>
      <xdr:row>32</xdr:row>
      <xdr:rowOff>85724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9</xdr:col>
      <xdr:colOff>190500</xdr:colOff>
      <xdr:row>66</xdr:row>
      <xdr:rowOff>119063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12</xdr:col>
      <xdr:colOff>829235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75766" y="2185147"/>
          <a:ext cx="7283822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829235</xdr:colOff>
      <xdr:row>13</xdr:row>
      <xdr:rowOff>0</xdr:rowOff>
    </xdr:from>
    <xdr:to>
      <xdr:col>12</xdr:col>
      <xdr:colOff>840441</xdr:colOff>
      <xdr:row>15</xdr:row>
      <xdr:rowOff>22412</xdr:rowOff>
    </xdr:to>
    <xdr:cxnSp macro="">
      <xdr:nvCxnSpPr>
        <xdr:cNvPr id="9" name="Connettore 1 8"/>
        <xdr:cNvCxnSpPr/>
      </xdr:nvCxnSpPr>
      <xdr:spPr>
        <a:xfrm flipH="1">
          <a:off x="8359588" y="2173941"/>
          <a:ext cx="11206" cy="3473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14</xdr:row>
      <xdr:rowOff>100011</xdr:rowOff>
    </xdr:from>
    <xdr:to>
      <xdr:col>8</xdr:col>
      <xdr:colOff>523875</xdr:colOff>
      <xdr:row>33</xdr:row>
      <xdr:rowOff>57149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8</xdr:col>
      <xdr:colOff>466726</xdr:colOff>
      <xdr:row>67</xdr:row>
      <xdr:rowOff>119063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280149</xdr:colOff>
      <xdr:row>13</xdr:row>
      <xdr:rowOff>0</xdr:rowOff>
    </xdr:from>
    <xdr:to>
      <xdr:col>7</xdr:col>
      <xdr:colOff>896471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1075767" y="2173941"/>
          <a:ext cx="3675528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885263</xdr:colOff>
      <xdr:row>13</xdr:row>
      <xdr:rowOff>11206</xdr:rowOff>
    </xdr:from>
    <xdr:to>
      <xdr:col>7</xdr:col>
      <xdr:colOff>896468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740087" y="2185147"/>
          <a:ext cx="11205" cy="28014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12</xdr:row>
      <xdr:rowOff>100011</xdr:rowOff>
    </xdr:from>
    <xdr:to>
      <xdr:col>9</xdr:col>
      <xdr:colOff>180974</xdr:colOff>
      <xdr:row>32</xdr:row>
      <xdr:rowOff>123824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9</xdr:col>
      <xdr:colOff>114300</xdr:colOff>
      <xdr:row>66</xdr:row>
      <xdr:rowOff>23813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14</xdr:col>
      <xdr:colOff>616324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75766" y="2185147"/>
          <a:ext cx="7126940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504265</xdr:colOff>
      <xdr:row>13</xdr:row>
      <xdr:rowOff>0</xdr:rowOff>
    </xdr:from>
    <xdr:to>
      <xdr:col>12</xdr:col>
      <xdr:colOff>504265</xdr:colOff>
      <xdr:row>15</xdr:row>
      <xdr:rowOff>0</xdr:rowOff>
    </xdr:to>
    <xdr:cxnSp macro="">
      <xdr:nvCxnSpPr>
        <xdr:cNvPr id="9" name="Connettore 1 8"/>
        <xdr:cNvCxnSpPr/>
      </xdr:nvCxnSpPr>
      <xdr:spPr>
        <a:xfrm>
          <a:off x="6958853" y="2173941"/>
          <a:ext cx="0" cy="324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605118</xdr:colOff>
      <xdr:row>13</xdr:row>
      <xdr:rowOff>11206</xdr:rowOff>
    </xdr:from>
    <xdr:to>
      <xdr:col>14</xdr:col>
      <xdr:colOff>616324</xdr:colOff>
      <xdr:row>15</xdr:row>
      <xdr:rowOff>11206</xdr:rowOff>
    </xdr:to>
    <xdr:cxnSp macro="">
      <xdr:nvCxnSpPr>
        <xdr:cNvPr id="11" name="Connettore 1 10"/>
        <xdr:cNvCxnSpPr/>
      </xdr:nvCxnSpPr>
      <xdr:spPr>
        <a:xfrm flipH="1">
          <a:off x="8191500" y="2185147"/>
          <a:ext cx="11206" cy="324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80962</xdr:rowOff>
    </xdr:from>
    <xdr:to>
      <xdr:col>9</xdr:col>
      <xdr:colOff>276225</xdr:colOff>
      <xdr:row>33</xdr:row>
      <xdr:rowOff>95250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9</xdr:col>
      <xdr:colOff>238125</xdr:colOff>
      <xdr:row>68</xdr:row>
      <xdr:rowOff>14288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40"/>
  <sheetViews>
    <sheetView zoomScale="85" workbookViewId="0">
      <selection activeCell="F24" sqref="F24:H24"/>
    </sheetView>
  </sheetViews>
  <sheetFormatPr defaultRowHeight="12.75" x14ac:dyDescent="0.2"/>
  <cols>
    <col min="1" max="1" width="2" style="64" customWidth="1"/>
    <col min="2" max="3" width="9.140625" style="64"/>
    <col min="4" max="4" width="7.28515625" style="64" customWidth="1"/>
    <col min="5" max="5" width="2.85546875" style="64" customWidth="1"/>
    <col min="6" max="6" width="9.140625" style="64"/>
    <col min="7" max="7" width="10.5703125" style="64" customWidth="1"/>
    <col min="8" max="8" width="7.85546875" style="64" customWidth="1"/>
    <col min="9" max="9" width="2.85546875" style="64" customWidth="1"/>
    <col min="10" max="10" width="21.7109375" style="64" customWidth="1"/>
    <col min="11" max="11" width="2.85546875" style="64" customWidth="1"/>
    <col min="12" max="12" width="27.7109375" style="64" customWidth="1"/>
    <col min="13" max="13" width="0" style="64" hidden="1" customWidth="1"/>
    <col min="14" max="14" width="2.85546875" style="64" customWidth="1"/>
    <col min="15" max="15" width="21.7109375" style="64" customWidth="1"/>
    <col min="16" max="16" width="2.85546875" style="64" customWidth="1"/>
    <col min="17" max="17" width="27.7109375" style="64" customWidth="1"/>
    <col min="18" max="252" width="9.140625" style="64"/>
    <col min="253" max="253" width="2" style="64" customWidth="1"/>
    <col min="254" max="255" width="9.140625" style="64"/>
    <col min="256" max="256" width="7.28515625" style="64" customWidth="1"/>
    <col min="257" max="257" width="2.85546875" style="64" customWidth="1"/>
    <col min="258" max="258" width="9.140625" style="64"/>
    <col min="259" max="259" width="10.5703125" style="64" customWidth="1"/>
    <col min="260" max="260" width="7.85546875" style="64" customWidth="1"/>
    <col min="261" max="261" width="2.85546875" style="64" customWidth="1"/>
    <col min="262" max="262" width="21" style="64" customWidth="1"/>
    <col min="263" max="263" width="23.5703125" style="64" customWidth="1"/>
    <col min="264" max="264" width="12.140625" style="64" customWidth="1"/>
    <col min="265" max="265" width="3.28515625" style="64" customWidth="1"/>
    <col min="266" max="266" width="26.85546875" style="64" customWidth="1"/>
    <col min="267" max="267" width="0" style="64" hidden="1" customWidth="1"/>
    <col min="268" max="268" width="2.140625" style="64" customWidth="1"/>
    <col min="269" max="508" width="9.140625" style="64"/>
    <col min="509" max="509" width="2" style="64" customWidth="1"/>
    <col min="510" max="511" width="9.140625" style="64"/>
    <col min="512" max="512" width="7.28515625" style="64" customWidth="1"/>
    <col min="513" max="513" width="2.85546875" style="64" customWidth="1"/>
    <col min="514" max="514" width="9.140625" style="64"/>
    <col min="515" max="515" width="10.5703125" style="64" customWidth="1"/>
    <col min="516" max="516" width="7.85546875" style="64" customWidth="1"/>
    <col min="517" max="517" width="2.85546875" style="64" customWidth="1"/>
    <col min="518" max="518" width="21" style="64" customWidth="1"/>
    <col min="519" max="519" width="23.5703125" style="64" customWidth="1"/>
    <col min="520" max="520" width="12.140625" style="64" customWidth="1"/>
    <col min="521" max="521" width="3.28515625" style="64" customWidth="1"/>
    <col min="522" max="522" width="26.85546875" style="64" customWidth="1"/>
    <col min="523" max="523" width="0" style="64" hidden="1" customWidth="1"/>
    <col min="524" max="524" width="2.140625" style="64" customWidth="1"/>
    <col min="525" max="764" width="9.140625" style="64"/>
    <col min="765" max="765" width="2" style="64" customWidth="1"/>
    <col min="766" max="767" width="9.140625" style="64"/>
    <col min="768" max="768" width="7.28515625" style="64" customWidth="1"/>
    <col min="769" max="769" width="2.85546875" style="64" customWidth="1"/>
    <col min="770" max="770" width="9.140625" style="64"/>
    <col min="771" max="771" width="10.5703125" style="64" customWidth="1"/>
    <col min="772" max="772" width="7.85546875" style="64" customWidth="1"/>
    <col min="773" max="773" width="2.85546875" style="64" customWidth="1"/>
    <col min="774" max="774" width="21" style="64" customWidth="1"/>
    <col min="775" max="775" width="23.5703125" style="64" customWidth="1"/>
    <col min="776" max="776" width="12.140625" style="64" customWidth="1"/>
    <col min="777" max="777" width="3.28515625" style="64" customWidth="1"/>
    <col min="778" max="778" width="26.85546875" style="64" customWidth="1"/>
    <col min="779" max="779" width="0" style="64" hidden="1" customWidth="1"/>
    <col min="780" max="780" width="2.140625" style="64" customWidth="1"/>
    <col min="781" max="1020" width="9.140625" style="64"/>
    <col min="1021" max="1021" width="2" style="64" customWidth="1"/>
    <col min="1022" max="1023" width="9.140625" style="64"/>
    <col min="1024" max="1024" width="7.28515625" style="64" customWidth="1"/>
    <col min="1025" max="1025" width="2.85546875" style="64" customWidth="1"/>
    <col min="1026" max="1026" width="9.140625" style="64"/>
    <col min="1027" max="1027" width="10.5703125" style="64" customWidth="1"/>
    <col min="1028" max="1028" width="7.85546875" style="64" customWidth="1"/>
    <col min="1029" max="1029" width="2.85546875" style="64" customWidth="1"/>
    <col min="1030" max="1030" width="21" style="64" customWidth="1"/>
    <col min="1031" max="1031" width="23.5703125" style="64" customWidth="1"/>
    <col min="1032" max="1032" width="12.140625" style="64" customWidth="1"/>
    <col min="1033" max="1033" width="3.28515625" style="64" customWidth="1"/>
    <col min="1034" max="1034" width="26.85546875" style="64" customWidth="1"/>
    <col min="1035" max="1035" width="0" style="64" hidden="1" customWidth="1"/>
    <col min="1036" max="1036" width="2.140625" style="64" customWidth="1"/>
    <col min="1037" max="1276" width="9.140625" style="64"/>
    <col min="1277" max="1277" width="2" style="64" customWidth="1"/>
    <col min="1278" max="1279" width="9.140625" style="64"/>
    <col min="1280" max="1280" width="7.28515625" style="64" customWidth="1"/>
    <col min="1281" max="1281" width="2.85546875" style="64" customWidth="1"/>
    <col min="1282" max="1282" width="9.140625" style="64"/>
    <col min="1283" max="1283" width="10.5703125" style="64" customWidth="1"/>
    <col min="1284" max="1284" width="7.85546875" style="64" customWidth="1"/>
    <col min="1285" max="1285" width="2.85546875" style="64" customWidth="1"/>
    <col min="1286" max="1286" width="21" style="64" customWidth="1"/>
    <col min="1287" max="1287" width="23.5703125" style="64" customWidth="1"/>
    <col min="1288" max="1288" width="12.140625" style="64" customWidth="1"/>
    <col min="1289" max="1289" width="3.28515625" style="64" customWidth="1"/>
    <col min="1290" max="1290" width="26.85546875" style="64" customWidth="1"/>
    <col min="1291" max="1291" width="0" style="64" hidden="1" customWidth="1"/>
    <col min="1292" max="1292" width="2.140625" style="64" customWidth="1"/>
    <col min="1293" max="1532" width="9.140625" style="64"/>
    <col min="1533" max="1533" width="2" style="64" customWidth="1"/>
    <col min="1534" max="1535" width="9.140625" style="64"/>
    <col min="1536" max="1536" width="7.28515625" style="64" customWidth="1"/>
    <col min="1537" max="1537" width="2.85546875" style="64" customWidth="1"/>
    <col min="1538" max="1538" width="9.140625" style="64"/>
    <col min="1539" max="1539" width="10.5703125" style="64" customWidth="1"/>
    <col min="1540" max="1540" width="7.85546875" style="64" customWidth="1"/>
    <col min="1541" max="1541" width="2.85546875" style="64" customWidth="1"/>
    <col min="1542" max="1542" width="21" style="64" customWidth="1"/>
    <col min="1543" max="1543" width="23.5703125" style="64" customWidth="1"/>
    <col min="1544" max="1544" width="12.140625" style="64" customWidth="1"/>
    <col min="1545" max="1545" width="3.28515625" style="64" customWidth="1"/>
    <col min="1546" max="1546" width="26.85546875" style="64" customWidth="1"/>
    <col min="1547" max="1547" width="0" style="64" hidden="1" customWidth="1"/>
    <col min="1548" max="1548" width="2.140625" style="64" customWidth="1"/>
    <col min="1549" max="1788" width="9.140625" style="64"/>
    <col min="1789" max="1789" width="2" style="64" customWidth="1"/>
    <col min="1790" max="1791" width="9.140625" style="64"/>
    <col min="1792" max="1792" width="7.28515625" style="64" customWidth="1"/>
    <col min="1793" max="1793" width="2.85546875" style="64" customWidth="1"/>
    <col min="1794" max="1794" width="9.140625" style="64"/>
    <col min="1795" max="1795" width="10.5703125" style="64" customWidth="1"/>
    <col min="1796" max="1796" width="7.85546875" style="64" customWidth="1"/>
    <col min="1797" max="1797" width="2.85546875" style="64" customWidth="1"/>
    <col min="1798" max="1798" width="21" style="64" customWidth="1"/>
    <col min="1799" max="1799" width="23.5703125" style="64" customWidth="1"/>
    <col min="1800" max="1800" width="12.140625" style="64" customWidth="1"/>
    <col min="1801" max="1801" width="3.28515625" style="64" customWidth="1"/>
    <col min="1802" max="1802" width="26.85546875" style="64" customWidth="1"/>
    <col min="1803" max="1803" width="0" style="64" hidden="1" customWidth="1"/>
    <col min="1804" max="1804" width="2.140625" style="64" customWidth="1"/>
    <col min="1805" max="2044" width="9.140625" style="64"/>
    <col min="2045" max="2045" width="2" style="64" customWidth="1"/>
    <col min="2046" max="2047" width="9.140625" style="64"/>
    <col min="2048" max="2048" width="7.28515625" style="64" customWidth="1"/>
    <col min="2049" max="2049" width="2.85546875" style="64" customWidth="1"/>
    <col min="2050" max="2050" width="9.140625" style="64"/>
    <col min="2051" max="2051" width="10.5703125" style="64" customWidth="1"/>
    <col min="2052" max="2052" width="7.85546875" style="64" customWidth="1"/>
    <col min="2053" max="2053" width="2.85546875" style="64" customWidth="1"/>
    <col min="2054" max="2054" width="21" style="64" customWidth="1"/>
    <col min="2055" max="2055" width="23.5703125" style="64" customWidth="1"/>
    <col min="2056" max="2056" width="12.140625" style="64" customWidth="1"/>
    <col min="2057" max="2057" width="3.28515625" style="64" customWidth="1"/>
    <col min="2058" max="2058" width="26.85546875" style="64" customWidth="1"/>
    <col min="2059" max="2059" width="0" style="64" hidden="1" customWidth="1"/>
    <col min="2060" max="2060" width="2.140625" style="64" customWidth="1"/>
    <col min="2061" max="2300" width="9.140625" style="64"/>
    <col min="2301" max="2301" width="2" style="64" customWidth="1"/>
    <col min="2302" max="2303" width="9.140625" style="64"/>
    <col min="2304" max="2304" width="7.28515625" style="64" customWidth="1"/>
    <col min="2305" max="2305" width="2.85546875" style="64" customWidth="1"/>
    <col min="2306" max="2306" width="9.140625" style="64"/>
    <col min="2307" max="2307" width="10.5703125" style="64" customWidth="1"/>
    <col min="2308" max="2308" width="7.85546875" style="64" customWidth="1"/>
    <col min="2309" max="2309" width="2.85546875" style="64" customWidth="1"/>
    <col min="2310" max="2310" width="21" style="64" customWidth="1"/>
    <col min="2311" max="2311" width="23.5703125" style="64" customWidth="1"/>
    <col min="2312" max="2312" width="12.140625" style="64" customWidth="1"/>
    <col min="2313" max="2313" width="3.28515625" style="64" customWidth="1"/>
    <col min="2314" max="2314" width="26.85546875" style="64" customWidth="1"/>
    <col min="2315" max="2315" width="0" style="64" hidden="1" customWidth="1"/>
    <col min="2316" max="2316" width="2.140625" style="64" customWidth="1"/>
    <col min="2317" max="2556" width="9.140625" style="64"/>
    <col min="2557" max="2557" width="2" style="64" customWidth="1"/>
    <col min="2558" max="2559" width="9.140625" style="64"/>
    <col min="2560" max="2560" width="7.28515625" style="64" customWidth="1"/>
    <col min="2561" max="2561" width="2.85546875" style="64" customWidth="1"/>
    <col min="2562" max="2562" width="9.140625" style="64"/>
    <col min="2563" max="2563" width="10.5703125" style="64" customWidth="1"/>
    <col min="2564" max="2564" width="7.85546875" style="64" customWidth="1"/>
    <col min="2565" max="2565" width="2.85546875" style="64" customWidth="1"/>
    <col min="2566" max="2566" width="21" style="64" customWidth="1"/>
    <col min="2567" max="2567" width="23.5703125" style="64" customWidth="1"/>
    <col min="2568" max="2568" width="12.140625" style="64" customWidth="1"/>
    <col min="2569" max="2569" width="3.28515625" style="64" customWidth="1"/>
    <col min="2570" max="2570" width="26.85546875" style="64" customWidth="1"/>
    <col min="2571" max="2571" width="0" style="64" hidden="1" customWidth="1"/>
    <col min="2572" max="2572" width="2.140625" style="64" customWidth="1"/>
    <col min="2573" max="2812" width="9.140625" style="64"/>
    <col min="2813" max="2813" width="2" style="64" customWidth="1"/>
    <col min="2814" max="2815" width="9.140625" style="64"/>
    <col min="2816" max="2816" width="7.28515625" style="64" customWidth="1"/>
    <col min="2817" max="2817" width="2.85546875" style="64" customWidth="1"/>
    <col min="2818" max="2818" width="9.140625" style="64"/>
    <col min="2819" max="2819" width="10.5703125" style="64" customWidth="1"/>
    <col min="2820" max="2820" width="7.85546875" style="64" customWidth="1"/>
    <col min="2821" max="2821" width="2.85546875" style="64" customWidth="1"/>
    <col min="2822" max="2822" width="21" style="64" customWidth="1"/>
    <col min="2823" max="2823" width="23.5703125" style="64" customWidth="1"/>
    <col min="2824" max="2824" width="12.140625" style="64" customWidth="1"/>
    <col min="2825" max="2825" width="3.28515625" style="64" customWidth="1"/>
    <col min="2826" max="2826" width="26.85546875" style="64" customWidth="1"/>
    <col min="2827" max="2827" width="0" style="64" hidden="1" customWidth="1"/>
    <col min="2828" max="2828" width="2.140625" style="64" customWidth="1"/>
    <col min="2829" max="3068" width="9.140625" style="64"/>
    <col min="3069" max="3069" width="2" style="64" customWidth="1"/>
    <col min="3070" max="3071" width="9.140625" style="64"/>
    <col min="3072" max="3072" width="7.28515625" style="64" customWidth="1"/>
    <col min="3073" max="3073" width="2.85546875" style="64" customWidth="1"/>
    <col min="3074" max="3074" width="9.140625" style="64"/>
    <col min="3075" max="3075" width="10.5703125" style="64" customWidth="1"/>
    <col min="3076" max="3076" width="7.85546875" style="64" customWidth="1"/>
    <col min="3077" max="3077" width="2.85546875" style="64" customWidth="1"/>
    <col min="3078" max="3078" width="21" style="64" customWidth="1"/>
    <col min="3079" max="3079" width="23.5703125" style="64" customWidth="1"/>
    <col min="3080" max="3080" width="12.140625" style="64" customWidth="1"/>
    <col min="3081" max="3081" width="3.28515625" style="64" customWidth="1"/>
    <col min="3082" max="3082" width="26.85546875" style="64" customWidth="1"/>
    <col min="3083" max="3083" width="0" style="64" hidden="1" customWidth="1"/>
    <col min="3084" max="3084" width="2.140625" style="64" customWidth="1"/>
    <col min="3085" max="3324" width="9.140625" style="64"/>
    <col min="3325" max="3325" width="2" style="64" customWidth="1"/>
    <col min="3326" max="3327" width="9.140625" style="64"/>
    <col min="3328" max="3328" width="7.28515625" style="64" customWidth="1"/>
    <col min="3329" max="3329" width="2.85546875" style="64" customWidth="1"/>
    <col min="3330" max="3330" width="9.140625" style="64"/>
    <col min="3331" max="3331" width="10.5703125" style="64" customWidth="1"/>
    <col min="3332" max="3332" width="7.85546875" style="64" customWidth="1"/>
    <col min="3333" max="3333" width="2.85546875" style="64" customWidth="1"/>
    <col min="3334" max="3334" width="21" style="64" customWidth="1"/>
    <col min="3335" max="3335" width="23.5703125" style="64" customWidth="1"/>
    <col min="3336" max="3336" width="12.140625" style="64" customWidth="1"/>
    <col min="3337" max="3337" width="3.28515625" style="64" customWidth="1"/>
    <col min="3338" max="3338" width="26.85546875" style="64" customWidth="1"/>
    <col min="3339" max="3339" width="0" style="64" hidden="1" customWidth="1"/>
    <col min="3340" max="3340" width="2.140625" style="64" customWidth="1"/>
    <col min="3341" max="3580" width="9.140625" style="64"/>
    <col min="3581" max="3581" width="2" style="64" customWidth="1"/>
    <col min="3582" max="3583" width="9.140625" style="64"/>
    <col min="3584" max="3584" width="7.28515625" style="64" customWidth="1"/>
    <col min="3585" max="3585" width="2.85546875" style="64" customWidth="1"/>
    <col min="3586" max="3586" width="9.140625" style="64"/>
    <col min="3587" max="3587" width="10.5703125" style="64" customWidth="1"/>
    <col min="3588" max="3588" width="7.85546875" style="64" customWidth="1"/>
    <col min="3589" max="3589" width="2.85546875" style="64" customWidth="1"/>
    <col min="3590" max="3590" width="21" style="64" customWidth="1"/>
    <col min="3591" max="3591" width="23.5703125" style="64" customWidth="1"/>
    <col min="3592" max="3592" width="12.140625" style="64" customWidth="1"/>
    <col min="3593" max="3593" width="3.28515625" style="64" customWidth="1"/>
    <col min="3594" max="3594" width="26.85546875" style="64" customWidth="1"/>
    <col min="3595" max="3595" width="0" style="64" hidden="1" customWidth="1"/>
    <col min="3596" max="3596" width="2.140625" style="64" customWidth="1"/>
    <col min="3597" max="3836" width="9.140625" style="64"/>
    <col min="3837" max="3837" width="2" style="64" customWidth="1"/>
    <col min="3838" max="3839" width="9.140625" style="64"/>
    <col min="3840" max="3840" width="7.28515625" style="64" customWidth="1"/>
    <col min="3841" max="3841" width="2.85546875" style="64" customWidth="1"/>
    <col min="3842" max="3842" width="9.140625" style="64"/>
    <col min="3843" max="3843" width="10.5703125" style="64" customWidth="1"/>
    <col min="3844" max="3844" width="7.85546875" style="64" customWidth="1"/>
    <col min="3845" max="3845" width="2.85546875" style="64" customWidth="1"/>
    <col min="3846" max="3846" width="21" style="64" customWidth="1"/>
    <col min="3847" max="3847" width="23.5703125" style="64" customWidth="1"/>
    <col min="3848" max="3848" width="12.140625" style="64" customWidth="1"/>
    <col min="3849" max="3849" width="3.28515625" style="64" customWidth="1"/>
    <col min="3850" max="3850" width="26.85546875" style="64" customWidth="1"/>
    <col min="3851" max="3851" width="0" style="64" hidden="1" customWidth="1"/>
    <col min="3852" max="3852" width="2.140625" style="64" customWidth="1"/>
    <col min="3853" max="4092" width="9.140625" style="64"/>
    <col min="4093" max="4093" width="2" style="64" customWidth="1"/>
    <col min="4094" max="4095" width="9.140625" style="64"/>
    <col min="4096" max="4096" width="7.28515625" style="64" customWidth="1"/>
    <col min="4097" max="4097" width="2.85546875" style="64" customWidth="1"/>
    <col min="4098" max="4098" width="9.140625" style="64"/>
    <col min="4099" max="4099" width="10.5703125" style="64" customWidth="1"/>
    <col min="4100" max="4100" width="7.85546875" style="64" customWidth="1"/>
    <col min="4101" max="4101" width="2.85546875" style="64" customWidth="1"/>
    <col min="4102" max="4102" width="21" style="64" customWidth="1"/>
    <col min="4103" max="4103" width="23.5703125" style="64" customWidth="1"/>
    <col min="4104" max="4104" width="12.140625" style="64" customWidth="1"/>
    <col min="4105" max="4105" width="3.28515625" style="64" customWidth="1"/>
    <col min="4106" max="4106" width="26.85546875" style="64" customWidth="1"/>
    <col min="4107" max="4107" width="0" style="64" hidden="1" customWidth="1"/>
    <col min="4108" max="4108" width="2.140625" style="64" customWidth="1"/>
    <col min="4109" max="4348" width="9.140625" style="64"/>
    <col min="4349" max="4349" width="2" style="64" customWidth="1"/>
    <col min="4350" max="4351" width="9.140625" style="64"/>
    <col min="4352" max="4352" width="7.28515625" style="64" customWidth="1"/>
    <col min="4353" max="4353" width="2.85546875" style="64" customWidth="1"/>
    <col min="4354" max="4354" width="9.140625" style="64"/>
    <col min="4355" max="4355" width="10.5703125" style="64" customWidth="1"/>
    <col min="4356" max="4356" width="7.85546875" style="64" customWidth="1"/>
    <col min="4357" max="4357" width="2.85546875" style="64" customWidth="1"/>
    <col min="4358" max="4358" width="21" style="64" customWidth="1"/>
    <col min="4359" max="4359" width="23.5703125" style="64" customWidth="1"/>
    <col min="4360" max="4360" width="12.140625" style="64" customWidth="1"/>
    <col min="4361" max="4361" width="3.28515625" style="64" customWidth="1"/>
    <col min="4362" max="4362" width="26.85546875" style="64" customWidth="1"/>
    <col min="4363" max="4363" width="0" style="64" hidden="1" customWidth="1"/>
    <col min="4364" max="4364" width="2.140625" style="64" customWidth="1"/>
    <col min="4365" max="4604" width="9.140625" style="64"/>
    <col min="4605" max="4605" width="2" style="64" customWidth="1"/>
    <col min="4606" max="4607" width="9.140625" style="64"/>
    <col min="4608" max="4608" width="7.28515625" style="64" customWidth="1"/>
    <col min="4609" max="4609" width="2.85546875" style="64" customWidth="1"/>
    <col min="4610" max="4610" width="9.140625" style="64"/>
    <col min="4611" max="4611" width="10.5703125" style="64" customWidth="1"/>
    <col min="4612" max="4612" width="7.85546875" style="64" customWidth="1"/>
    <col min="4613" max="4613" width="2.85546875" style="64" customWidth="1"/>
    <col min="4614" max="4614" width="21" style="64" customWidth="1"/>
    <col min="4615" max="4615" width="23.5703125" style="64" customWidth="1"/>
    <col min="4616" max="4616" width="12.140625" style="64" customWidth="1"/>
    <col min="4617" max="4617" width="3.28515625" style="64" customWidth="1"/>
    <col min="4618" max="4618" width="26.85546875" style="64" customWidth="1"/>
    <col min="4619" max="4619" width="0" style="64" hidden="1" customWidth="1"/>
    <col min="4620" max="4620" width="2.140625" style="64" customWidth="1"/>
    <col min="4621" max="4860" width="9.140625" style="64"/>
    <col min="4861" max="4861" width="2" style="64" customWidth="1"/>
    <col min="4862" max="4863" width="9.140625" style="64"/>
    <col min="4864" max="4864" width="7.28515625" style="64" customWidth="1"/>
    <col min="4865" max="4865" width="2.85546875" style="64" customWidth="1"/>
    <col min="4866" max="4866" width="9.140625" style="64"/>
    <col min="4867" max="4867" width="10.5703125" style="64" customWidth="1"/>
    <col min="4868" max="4868" width="7.85546875" style="64" customWidth="1"/>
    <col min="4869" max="4869" width="2.85546875" style="64" customWidth="1"/>
    <col min="4870" max="4870" width="21" style="64" customWidth="1"/>
    <col min="4871" max="4871" width="23.5703125" style="64" customWidth="1"/>
    <col min="4872" max="4872" width="12.140625" style="64" customWidth="1"/>
    <col min="4873" max="4873" width="3.28515625" style="64" customWidth="1"/>
    <col min="4874" max="4874" width="26.85546875" style="64" customWidth="1"/>
    <col min="4875" max="4875" width="0" style="64" hidden="1" customWidth="1"/>
    <col min="4876" max="4876" width="2.140625" style="64" customWidth="1"/>
    <col min="4877" max="5116" width="9.140625" style="64"/>
    <col min="5117" max="5117" width="2" style="64" customWidth="1"/>
    <col min="5118" max="5119" width="9.140625" style="64"/>
    <col min="5120" max="5120" width="7.28515625" style="64" customWidth="1"/>
    <col min="5121" max="5121" width="2.85546875" style="64" customWidth="1"/>
    <col min="5122" max="5122" width="9.140625" style="64"/>
    <col min="5123" max="5123" width="10.5703125" style="64" customWidth="1"/>
    <col min="5124" max="5124" width="7.85546875" style="64" customWidth="1"/>
    <col min="5125" max="5125" width="2.85546875" style="64" customWidth="1"/>
    <col min="5126" max="5126" width="21" style="64" customWidth="1"/>
    <col min="5127" max="5127" width="23.5703125" style="64" customWidth="1"/>
    <col min="5128" max="5128" width="12.140625" style="64" customWidth="1"/>
    <col min="5129" max="5129" width="3.28515625" style="64" customWidth="1"/>
    <col min="5130" max="5130" width="26.85546875" style="64" customWidth="1"/>
    <col min="5131" max="5131" width="0" style="64" hidden="1" customWidth="1"/>
    <col min="5132" max="5132" width="2.140625" style="64" customWidth="1"/>
    <col min="5133" max="5372" width="9.140625" style="64"/>
    <col min="5373" max="5373" width="2" style="64" customWidth="1"/>
    <col min="5374" max="5375" width="9.140625" style="64"/>
    <col min="5376" max="5376" width="7.28515625" style="64" customWidth="1"/>
    <col min="5377" max="5377" width="2.85546875" style="64" customWidth="1"/>
    <col min="5378" max="5378" width="9.140625" style="64"/>
    <col min="5379" max="5379" width="10.5703125" style="64" customWidth="1"/>
    <col min="5380" max="5380" width="7.85546875" style="64" customWidth="1"/>
    <col min="5381" max="5381" width="2.85546875" style="64" customWidth="1"/>
    <col min="5382" max="5382" width="21" style="64" customWidth="1"/>
    <col min="5383" max="5383" width="23.5703125" style="64" customWidth="1"/>
    <col min="5384" max="5384" width="12.140625" style="64" customWidth="1"/>
    <col min="5385" max="5385" width="3.28515625" style="64" customWidth="1"/>
    <col min="5386" max="5386" width="26.85546875" style="64" customWidth="1"/>
    <col min="5387" max="5387" width="0" style="64" hidden="1" customWidth="1"/>
    <col min="5388" max="5388" width="2.140625" style="64" customWidth="1"/>
    <col min="5389" max="5628" width="9.140625" style="64"/>
    <col min="5629" max="5629" width="2" style="64" customWidth="1"/>
    <col min="5630" max="5631" width="9.140625" style="64"/>
    <col min="5632" max="5632" width="7.28515625" style="64" customWidth="1"/>
    <col min="5633" max="5633" width="2.85546875" style="64" customWidth="1"/>
    <col min="5634" max="5634" width="9.140625" style="64"/>
    <col min="5635" max="5635" width="10.5703125" style="64" customWidth="1"/>
    <col min="5636" max="5636" width="7.85546875" style="64" customWidth="1"/>
    <col min="5637" max="5637" width="2.85546875" style="64" customWidth="1"/>
    <col min="5638" max="5638" width="21" style="64" customWidth="1"/>
    <col min="5639" max="5639" width="23.5703125" style="64" customWidth="1"/>
    <col min="5640" max="5640" width="12.140625" style="64" customWidth="1"/>
    <col min="5641" max="5641" width="3.28515625" style="64" customWidth="1"/>
    <col min="5642" max="5642" width="26.85546875" style="64" customWidth="1"/>
    <col min="5643" max="5643" width="0" style="64" hidden="1" customWidth="1"/>
    <col min="5644" max="5644" width="2.140625" style="64" customWidth="1"/>
    <col min="5645" max="5884" width="9.140625" style="64"/>
    <col min="5885" max="5885" width="2" style="64" customWidth="1"/>
    <col min="5886" max="5887" width="9.140625" style="64"/>
    <col min="5888" max="5888" width="7.28515625" style="64" customWidth="1"/>
    <col min="5889" max="5889" width="2.85546875" style="64" customWidth="1"/>
    <col min="5890" max="5890" width="9.140625" style="64"/>
    <col min="5891" max="5891" width="10.5703125" style="64" customWidth="1"/>
    <col min="5892" max="5892" width="7.85546875" style="64" customWidth="1"/>
    <col min="5893" max="5893" width="2.85546875" style="64" customWidth="1"/>
    <col min="5894" max="5894" width="21" style="64" customWidth="1"/>
    <col min="5895" max="5895" width="23.5703125" style="64" customWidth="1"/>
    <col min="5896" max="5896" width="12.140625" style="64" customWidth="1"/>
    <col min="5897" max="5897" width="3.28515625" style="64" customWidth="1"/>
    <col min="5898" max="5898" width="26.85546875" style="64" customWidth="1"/>
    <col min="5899" max="5899" width="0" style="64" hidden="1" customWidth="1"/>
    <col min="5900" max="5900" width="2.140625" style="64" customWidth="1"/>
    <col min="5901" max="6140" width="9.140625" style="64"/>
    <col min="6141" max="6141" width="2" style="64" customWidth="1"/>
    <col min="6142" max="6143" width="9.140625" style="64"/>
    <col min="6144" max="6144" width="7.28515625" style="64" customWidth="1"/>
    <col min="6145" max="6145" width="2.85546875" style="64" customWidth="1"/>
    <col min="6146" max="6146" width="9.140625" style="64"/>
    <col min="6147" max="6147" width="10.5703125" style="64" customWidth="1"/>
    <col min="6148" max="6148" width="7.85546875" style="64" customWidth="1"/>
    <col min="6149" max="6149" width="2.85546875" style="64" customWidth="1"/>
    <col min="6150" max="6150" width="21" style="64" customWidth="1"/>
    <col min="6151" max="6151" width="23.5703125" style="64" customWidth="1"/>
    <col min="6152" max="6152" width="12.140625" style="64" customWidth="1"/>
    <col min="6153" max="6153" width="3.28515625" style="64" customWidth="1"/>
    <col min="6154" max="6154" width="26.85546875" style="64" customWidth="1"/>
    <col min="6155" max="6155" width="0" style="64" hidden="1" customWidth="1"/>
    <col min="6156" max="6156" width="2.140625" style="64" customWidth="1"/>
    <col min="6157" max="6396" width="9.140625" style="64"/>
    <col min="6397" max="6397" width="2" style="64" customWidth="1"/>
    <col min="6398" max="6399" width="9.140625" style="64"/>
    <col min="6400" max="6400" width="7.28515625" style="64" customWidth="1"/>
    <col min="6401" max="6401" width="2.85546875" style="64" customWidth="1"/>
    <col min="6402" max="6402" width="9.140625" style="64"/>
    <col min="6403" max="6403" width="10.5703125" style="64" customWidth="1"/>
    <col min="6404" max="6404" width="7.85546875" style="64" customWidth="1"/>
    <col min="6405" max="6405" width="2.85546875" style="64" customWidth="1"/>
    <col min="6406" max="6406" width="21" style="64" customWidth="1"/>
    <col min="6407" max="6407" width="23.5703125" style="64" customWidth="1"/>
    <col min="6408" max="6408" width="12.140625" style="64" customWidth="1"/>
    <col min="6409" max="6409" width="3.28515625" style="64" customWidth="1"/>
    <col min="6410" max="6410" width="26.85546875" style="64" customWidth="1"/>
    <col min="6411" max="6411" width="0" style="64" hidden="1" customWidth="1"/>
    <col min="6412" max="6412" width="2.140625" style="64" customWidth="1"/>
    <col min="6413" max="6652" width="9.140625" style="64"/>
    <col min="6653" max="6653" width="2" style="64" customWidth="1"/>
    <col min="6654" max="6655" width="9.140625" style="64"/>
    <col min="6656" max="6656" width="7.28515625" style="64" customWidth="1"/>
    <col min="6657" max="6657" width="2.85546875" style="64" customWidth="1"/>
    <col min="6658" max="6658" width="9.140625" style="64"/>
    <col min="6659" max="6659" width="10.5703125" style="64" customWidth="1"/>
    <col min="6660" max="6660" width="7.85546875" style="64" customWidth="1"/>
    <col min="6661" max="6661" width="2.85546875" style="64" customWidth="1"/>
    <col min="6662" max="6662" width="21" style="64" customWidth="1"/>
    <col min="6663" max="6663" width="23.5703125" style="64" customWidth="1"/>
    <col min="6664" max="6664" width="12.140625" style="64" customWidth="1"/>
    <col min="6665" max="6665" width="3.28515625" style="64" customWidth="1"/>
    <col min="6666" max="6666" width="26.85546875" style="64" customWidth="1"/>
    <col min="6667" max="6667" width="0" style="64" hidden="1" customWidth="1"/>
    <col min="6668" max="6668" width="2.140625" style="64" customWidth="1"/>
    <col min="6669" max="6908" width="9.140625" style="64"/>
    <col min="6909" max="6909" width="2" style="64" customWidth="1"/>
    <col min="6910" max="6911" width="9.140625" style="64"/>
    <col min="6912" max="6912" width="7.28515625" style="64" customWidth="1"/>
    <col min="6913" max="6913" width="2.85546875" style="64" customWidth="1"/>
    <col min="6914" max="6914" width="9.140625" style="64"/>
    <col min="6915" max="6915" width="10.5703125" style="64" customWidth="1"/>
    <col min="6916" max="6916" width="7.85546875" style="64" customWidth="1"/>
    <col min="6917" max="6917" width="2.85546875" style="64" customWidth="1"/>
    <col min="6918" max="6918" width="21" style="64" customWidth="1"/>
    <col min="6919" max="6919" width="23.5703125" style="64" customWidth="1"/>
    <col min="6920" max="6920" width="12.140625" style="64" customWidth="1"/>
    <col min="6921" max="6921" width="3.28515625" style="64" customWidth="1"/>
    <col min="6922" max="6922" width="26.85546875" style="64" customWidth="1"/>
    <col min="6923" max="6923" width="0" style="64" hidden="1" customWidth="1"/>
    <col min="6924" max="6924" width="2.140625" style="64" customWidth="1"/>
    <col min="6925" max="7164" width="9.140625" style="64"/>
    <col min="7165" max="7165" width="2" style="64" customWidth="1"/>
    <col min="7166" max="7167" width="9.140625" style="64"/>
    <col min="7168" max="7168" width="7.28515625" style="64" customWidth="1"/>
    <col min="7169" max="7169" width="2.85546875" style="64" customWidth="1"/>
    <col min="7170" max="7170" width="9.140625" style="64"/>
    <col min="7171" max="7171" width="10.5703125" style="64" customWidth="1"/>
    <col min="7172" max="7172" width="7.85546875" style="64" customWidth="1"/>
    <col min="7173" max="7173" width="2.85546875" style="64" customWidth="1"/>
    <col min="7174" max="7174" width="21" style="64" customWidth="1"/>
    <col min="7175" max="7175" width="23.5703125" style="64" customWidth="1"/>
    <col min="7176" max="7176" width="12.140625" style="64" customWidth="1"/>
    <col min="7177" max="7177" width="3.28515625" style="64" customWidth="1"/>
    <col min="7178" max="7178" width="26.85546875" style="64" customWidth="1"/>
    <col min="7179" max="7179" width="0" style="64" hidden="1" customWidth="1"/>
    <col min="7180" max="7180" width="2.140625" style="64" customWidth="1"/>
    <col min="7181" max="7420" width="9.140625" style="64"/>
    <col min="7421" max="7421" width="2" style="64" customWidth="1"/>
    <col min="7422" max="7423" width="9.140625" style="64"/>
    <col min="7424" max="7424" width="7.28515625" style="64" customWidth="1"/>
    <col min="7425" max="7425" width="2.85546875" style="64" customWidth="1"/>
    <col min="7426" max="7426" width="9.140625" style="64"/>
    <col min="7427" max="7427" width="10.5703125" style="64" customWidth="1"/>
    <col min="7428" max="7428" width="7.85546875" style="64" customWidth="1"/>
    <col min="7429" max="7429" width="2.85546875" style="64" customWidth="1"/>
    <col min="7430" max="7430" width="21" style="64" customWidth="1"/>
    <col min="7431" max="7431" width="23.5703125" style="64" customWidth="1"/>
    <col min="7432" max="7432" width="12.140625" style="64" customWidth="1"/>
    <col min="7433" max="7433" width="3.28515625" style="64" customWidth="1"/>
    <col min="7434" max="7434" width="26.85546875" style="64" customWidth="1"/>
    <col min="7435" max="7435" width="0" style="64" hidden="1" customWidth="1"/>
    <col min="7436" max="7436" width="2.140625" style="64" customWidth="1"/>
    <col min="7437" max="7676" width="9.140625" style="64"/>
    <col min="7677" max="7677" width="2" style="64" customWidth="1"/>
    <col min="7678" max="7679" width="9.140625" style="64"/>
    <col min="7680" max="7680" width="7.28515625" style="64" customWidth="1"/>
    <col min="7681" max="7681" width="2.85546875" style="64" customWidth="1"/>
    <col min="7682" max="7682" width="9.140625" style="64"/>
    <col min="7683" max="7683" width="10.5703125" style="64" customWidth="1"/>
    <col min="7684" max="7684" width="7.85546875" style="64" customWidth="1"/>
    <col min="7685" max="7685" width="2.85546875" style="64" customWidth="1"/>
    <col min="7686" max="7686" width="21" style="64" customWidth="1"/>
    <col min="7687" max="7687" width="23.5703125" style="64" customWidth="1"/>
    <col min="7688" max="7688" width="12.140625" style="64" customWidth="1"/>
    <col min="7689" max="7689" width="3.28515625" style="64" customWidth="1"/>
    <col min="7690" max="7690" width="26.85546875" style="64" customWidth="1"/>
    <col min="7691" max="7691" width="0" style="64" hidden="1" customWidth="1"/>
    <col min="7692" max="7692" width="2.140625" style="64" customWidth="1"/>
    <col min="7693" max="7932" width="9.140625" style="64"/>
    <col min="7933" max="7933" width="2" style="64" customWidth="1"/>
    <col min="7934" max="7935" width="9.140625" style="64"/>
    <col min="7936" max="7936" width="7.28515625" style="64" customWidth="1"/>
    <col min="7937" max="7937" width="2.85546875" style="64" customWidth="1"/>
    <col min="7938" max="7938" width="9.140625" style="64"/>
    <col min="7939" max="7939" width="10.5703125" style="64" customWidth="1"/>
    <col min="7940" max="7940" width="7.85546875" style="64" customWidth="1"/>
    <col min="7941" max="7941" width="2.85546875" style="64" customWidth="1"/>
    <col min="7942" max="7942" width="21" style="64" customWidth="1"/>
    <col min="7943" max="7943" width="23.5703125" style="64" customWidth="1"/>
    <col min="7944" max="7944" width="12.140625" style="64" customWidth="1"/>
    <col min="7945" max="7945" width="3.28515625" style="64" customWidth="1"/>
    <col min="7946" max="7946" width="26.85546875" style="64" customWidth="1"/>
    <col min="7947" max="7947" width="0" style="64" hidden="1" customWidth="1"/>
    <col min="7948" max="7948" width="2.140625" style="64" customWidth="1"/>
    <col min="7949" max="8188" width="9.140625" style="64"/>
    <col min="8189" max="8189" width="2" style="64" customWidth="1"/>
    <col min="8190" max="8191" width="9.140625" style="64"/>
    <col min="8192" max="8192" width="7.28515625" style="64" customWidth="1"/>
    <col min="8193" max="8193" width="2.85546875" style="64" customWidth="1"/>
    <col min="8194" max="8194" width="9.140625" style="64"/>
    <col min="8195" max="8195" width="10.5703125" style="64" customWidth="1"/>
    <col min="8196" max="8196" width="7.85546875" style="64" customWidth="1"/>
    <col min="8197" max="8197" width="2.85546875" style="64" customWidth="1"/>
    <col min="8198" max="8198" width="21" style="64" customWidth="1"/>
    <col min="8199" max="8199" width="23.5703125" style="64" customWidth="1"/>
    <col min="8200" max="8200" width="12.140625" style="64" customWidth="1"/>
    <col min="8201" max="8201" width="3.28515625" style="64" customWidth="1"/>
    <col min="8202" max="8202" width="26.85546875" style="64" customWidth="1"/>
    <col min="8203" max="8203" width="0" style="64" hidden="1" customWidth="1"/>
    <col min="8204" max="8204" width="2.140625" style="64" customWidth="1"/>
    <col min="8205" max="8444" width="9.140625" style="64"/>
    <col min="8445" max="8445" width="2" style="64" customWidth="1"/>
    <col min="8446" max="8447" width="9.140625" style="64"/>
    <col min="8448" max="8448" width="7.28515625" style="64" customWidth="1"/>
    <col min="8449" max="8449" width="2.85546875" style="64" customWidth="1"/>
    <col min="8450" max="8450" width="9.140625" style="64"/>
    <col min="8451" max="8451" width="10.5703125" style="64" customWidth="1"/>
    <col min="8452" max="8452" width="7.85546875" style="64" customWidth="1"/>
    <col min="8453" max="8453" width="2.85546875" style="64" customWidth="1"/>
    <col min="8454" max="8454" width="21" style="64" customWidth="1"/>
    <col min="8455" max="8455" width="23.5703125" style="64" customWidth="1"/>
    <col min="8456" max="8456" width="12.140625" style="64" customWidth="1"/>
    <col min="8457" max="8457" width="3.28515625" style="64" customWidth="1"/>
    <col min="8458" max="8458" width="26.85546875" style="64" customWidth="1"/>
    <col min="8459" max="8459" width="0" style="64" hidden="1" customWidth="1"/>
    <col min="8460" max="8460" width="2.140625" style="64" customWidth="1"/>
    <col min="8461" max="8700" width="9.140625" style="64"/>
    <col min="8701" max="8701" width="2" style="64" customWidth="1"/>
    <col min="8702" max="8703" width="9.140625" style="64"/>
    <col min="8704" max="8704" width="7.28515625" style="64" customWidth="1"/>
    <col min="8705" max="8705" width="2.85546875" style="64" customWidth="1"/>
    <col min="8706" max="8706" width="9.140625" style="64"/>
    <col min="8707" max="8707" width="10.5703125" style="64" customWidth="1"/>
    <col min="8708" max="8708" width="7.85546875" style="64" customWidth="1"/>
    <col min="8709" max="8709" width="2.85546875" style="64" customWidth="1"/>
    <col min="8710" max="8710" width="21" style="64" customWidth="1"/>
    <col min="8711" max="8711" width="23.5703125" style="64" customWidth="1"/>
    <col min="8712" max="8712" width="12.140625" style="64" customWidth="1"/>
    <col min="8713" max="8713" width="3.28515625" style="64" customWidth="1"/>
    <col min="8714" max="8714" width="26.85546875" style="64" customWidth="1"/>
    <col min="8715" max="8715" width="0" style="64" hidden="1" customWidth="1"/>
    <col min="8716" max="8716" width="2.140625" style="64" customWidth="1"/>
    <col min="8717" max="8956" width="9.140625" style="64"/>
    <col min="8957" max="8957" width="2" style="64" customWidth="1"/>
    <col min="8958" max="8959" width="9.140625" style="64"/>
    <col min="8960" max="8960" width="7.28515625" style="64" customWidth="1"/>
    <col min="8961" max="8961" width="2.85546875" style="64" customWidth="1"/>
    <col min="8962" max="8962" width="9.140625" style="64"/>
    <col min="8963" max="8963" width="10.5703125" style="64" customWidth="1"/>
    <col min="8964" max="8964" width="7.85546875" style="64" customWidth="1"/>
    <col min="8965" max="8965" width="2.85546875" style="64" customWidth="1"/>
    <col min="8966" max="8966" width="21" style="64" customWidth="1"/>
    <col min="8967" max="8967" width="23.5703125" style="64" customWidth="1"/>
    <col min="8968" max="8968" width="12.140625" style="64" customWidth="1"/>
    <col min="8969" max="8969" width="3.28515625" style="64" customWidth="1"/>
    <col min="8970" max="8970" width="26.85546875" style="64" customWidth="1"/>
    <col min="8971" max="8971" width="0" style="64" hidden="1" customWidth="1"/>
    <col min="8972" max="8972" width="2.140625" style="64" customWidth="1"/>
    <col min="8973" max="9212" width="9.140625" style="64"/>
    <col min="9213" max="9213" width="2" style="64" customWidth="1"/>
    <col min="9214" max="9215" width="9.140625" style="64"/>
    <col min="9216" max="9216" width="7.28515625" style="64" customWidth="1"/>
    <col min="9217" max="9217" width="2.85546875" style="64" customWidth="1"/>
    <col min="9218" max="9218" width="9.140625" style="64"/>
    <col min="9219" max="9219" width="10.5703125" style="64" customWidth="1"/>
    <col min="9220" max="9220" width="7.85546875" style="64" customWidth="1"/>
    <col min="9221" max="9221" width="2.85546875" style="64" customWidth="1"/>
    <col min="9222" max="9222" width="21" style="64" customWidth="1"/>
    <col min="9223" max="9223" width="23.5703125" style="64" customWidth="1"/>
    <col min="9224" max="9224" width="12.140625" style="64" customWidth="1"/>
    <col min="9225" max="9225" width="3.28515625" style="64" customWidth="1"/>
    <col min="9226" max="9226" width="26.85546875" style="64" customWidth="1"/>
    <col min="9227" max="9227" width="0" style="64" hidden="1" customWidth="1"/>
    <col min="9228" max="9228" width="2.140625" style="64" customWidth="1"/>
    <col min="9229" max="9468" width="9.140625" style="64"/>
    <col min="9469" max="9469" width="2" style="64" customWidth="1"/>
    <col min="9470" max="9471" width="9.140625" style="64"/>
    <col min="9472" max="9472" width="7.28515625" style="64" customWidth="1"/>
    <col min="9473" max="9473" width="2.85546875" style="64" customWidth="1"/>
    <col min="9474" max="9474" width="9.140625" style="64"/>
    <col min="9475" max="9475" width="10.5703125" style="64" customWidth="1"/>
    <col min="9476" max="9476" width="7.85546875" style="64" customWidth="1"/>
    <col min="9477" max="9477" width="2.85546875" style="64" customWidth="1"/>
    <col min="9478" max="9478" width="21" style="64" customWidth="1"/>
    <col min="9479" max="9479" width="23.5703125" style="64" customWidth="1"/>
    <col min="9480" max="9480" width="12.140625" style="64" customWidth="1"/>
    <col min="9481" max="9481" width="3.28515625" style="64" customWidth="1"/>
    <col min="9482" max="9482" width="26.85546875" style="64" customWidth="1"/>
    <col min="9483" max="9483" width="0" style="64" hidden="1" customWidth="1"/>
    <col min="9484" max="9484" width="2.140625" style="64" customWidth="1"/>
    <col min="9485" max="9724" width="9.140625" style="64"/>
    <col min="9725" max="9725" width="2" style="64" customWidth="1"/>
    <col min="9726" max="9727" width="9.140625" style="64"/>
    <col min="9728" max="9728" width="7.28515625" style="64" customWidth="1"/>
    <col min="9729" max="9729" width="2.85546875" style="64" customWidth="1"/>
    <col min="9730" max="9730" width="9.140625" style="64"/>
    <col min="9731" max="9731" width="10.5703125" style="64" customWidth="1"/>
    <col min="9732" max="9732" width="7.85546875" style="64" customWidth="1"/>
    <col min="9733" max="9733" width="2.85546875" style="64" customWidth="1"/>
    <col min="9734" max="9734" width="21" style="64" customWidth="1"/>
    <col min="9735" max="9735" width="23.5703125" style="64" customWidth="1"/>
    <col min="9736" max="9736" width="12.140625" style="64" customWidth="1"/>
    <col min="9737" max="9737" width="3.28515625" style="64" customWidth="1"/>
    <col min="9738" max="9738" width="26.85546875" style="64" customWidth="1"/>
    <col min="9739" max="9739" width="0" style="64" hidden="1" customWidth="1"/>
    <col min="9740" max="9740" width="2.140625" style="64" customWidth="1"/>
    <col min="9741" max="9980" width="9.140625" style="64"/>
    <col min="9981" max="9981" width="2" style="64" customWidth="1"/>
    <col min="9982" max="9983" width="9.140625" style="64"/>
    <col min="9984" max="9984" width="7.28515625" style="64" customWidth="1"/>
    <col min="9985" max="9985" width="2.85546875" style="64" customWidth="1"/>
    <col min="9986" max="9986" width="9.140625" style="64"/>
    <col min="9987" max="9987" width="10.5703125" style="64" customWidth="1"/>
    <col min="9988" max="9988" width="7.85546875" style="64" customWidth="1"/>
    <col min="9989" max="9989" width="2.85546875" style="64" customWidth="1"/>
    <col min="9990" max="9990" width="21" style="64" customWidth="1"/>
    <col min="9991" max="9991" width="23.5703125" style="64" customWidth="1"/>
    <col min="9992" max="9992" width="12.140625" style="64" customWidth="1"/>
    <col min="9993" max="9993" width="3.28515625" style="64" customWidth="1"/>
    <col min="9994" max="9994" width="26.85546875" style="64" customWidth="1"/>
    <col min="9995" max="9995" width="0" style="64" hidden="1" customWidth="1"/>
    <col min="9996" max="9996" width="2.140625" style="64" customWidth="1"/>
    <col min="9997" max="10236" width="9.140625" style="64"/>
    <col min="10237" max="10237" width="2" style="64" customWidth="1"/>
    <col min="10238" max="10239" width="9.140625" style="64"/>
    <col min="10240" max="10240" width="7.28515625" style="64" customWidth="1"/>
    <col min="10241" max="10241" width="2.85546875" style="64" customWidth="1"/>
    <col min="10242" max="10242" width="9.140625" style="64"/>
    <col min="10243" max="10243" width="10.5703125" style="64" customWidth="1"/>
    <col min="10244" max="10244" width="7.85546875" style="64" customWidth="1"/>
    <col min="10245" max="10245" width="2.85546875" style="64" customWidth="1"/>
    <col min="10246" max="10246" width="21" style="64" customWidth="1"/>
    <col min="10247" max="10247" width="23.5703125" style="64" customWidth="1"/>
    <col min="10248" max="10248" width="12.140625" style="64" customWidth="1"/>
    <col min="10249" max="10249" width="3.28515625" style="64" customWidth="1"/>
    <col min="10250" max="10250" width="26.85546875" style="64" customWidth="1"/>
    <col min="10251" max="10251" width="0" style="64" hidden="1" customWidth="1"/>
    <col min="10252" max="10252" width="2.140625" style="64" customWidth="1"/>
    <col min="10253" max="10492" width="9.140625" style="64"/>
    <col min="10493" max="10493" width="2" style="64" customWidth="1"/>
    <col min="10494" max="10495" width="9.140625" style="64"/>
    <col min="10496" max="10496" width="7.28515625" style="64" customWidth="1"/>
    <col min="10497" max="10497" width="2.85546875" style="64" customWidth="1"/>
    <col min="10498" max="10498" width="9.140625" style="64"/>
    <col min="10499" max="10499" width="10.5703125" style="64" customWidth="1"/>
    <col min="10500" max="10500" width="7.85546875" style="64" customWidth="1"/>
    <col min="10501" max="10501" width="2.85546875" style="64" customWidth="1"/>
    <col min="10502" max="10502" width="21" style="64" customWidth="1"/>
    <col min="10503" max="10503" width="23.5703125" style="64" customWidth="1"/>
    <col min="10504" max="10504" width="12.140625" style="64" customWidth="1"/>
    <col min="10505" max="10505" width="3.28515625" style="64" customWidth="1"/>
    <col min="10506" max="10506" width="26.85546875" style="64" customWidth="1"/>
    <col min="10507" max="10507" width="0" style="64" hidden="1" customWidth="1"/>
    <col min="10508" max="10508" width="2.140625" style="64" customWidth="1"/>
    <col min="10509" max="10748" width="9.140625" style="64"/>
    <col min="10749" max="10749" width="2" style="64" customWidth="1"/>
    <col min="10750" max="10751" width="9.140625" style="64"/>
    <col min="10752" max="10752" width="7.28515625" style="64" customWidth="1"/>
    <col min="10753" max="10753" width="2.85546875" style="64" customWidth="1"/>
    <col min="10754" max="10754" width="9.140625" style="64"/>
    <col min="10755" max="10755" width="10.5703125" style="64" customWidth="1"/>
    <col min="10756" max="10756" width="7.85546875" style="64" customWidth="1"/>
    <col min="10757" max="10757" width="2.85546875" style="64" customWidth="1"/>
    <col min="10758" max="10758" width="21" style="64" customWidth="1"/>
    <col min="10759" max="10759" width="23.5703125" style="64" customWidth="1"/>
    <col min="10760" max="10760" width="12.140625" style="64" customWidth="1"/>
    <col min="10761" max="10761" width="3.28515625" style="64" customWidth="1"/>
    <col min="10762" max="10762" width="26.85546875" style="64" customWidth="1"/>
    <col min="10763" max="10763" width="0" style="64" hidden="1" customWidth="1"/>
    <col min="10764" max="10764" width="2.140625" style="64" customWidth="1"/>
    <col min="10765" max="11004" width="9.140625" style="64"/>
    <col min="11005" max="11005" width="2" style="64" customWidth="1"/>
    <col min="11006" max="11007" width="9.140625" style="64"/>
    <col min="11008" max="11008" width="7.28515625" style="64" customWidth="1"/>
    <col min="11009" max="11009" width="2.85546875" style="64" customWidth="1"/>
    <col min="11010" max="11010" width="9.140625" style="64"/>
    <col min="11011" max="11011" width="10.5703125" style="64" customWidth="1"/>
    <col min="11012" max="11012" width="7.85546875" style="64" customWidth="1"/>
    <col min="11013" max="11013" width="2.85546875" style="64" customWidth="1"/>
    <col min="11014" max="11014" width="21" style="64" customWidth="1"/>
    <col min="11015" max="11015" width="23.5703125" style="64" customWidth="1"/>
    <col min="11016" max="11016" width="12.140625" style="64" customWidth="1"/>
    <col min="11017" max="11017" width="3.28515625" style="64" customWidth="1"/>
    <col min="11018" max="11018" width="26.85546875" style="64" customWidth="1"/>
    <col min="11019" max="11019" width="0" style="64" hidden="1" customWidth="1"/>
    <col min="11020" max="11020" width="2.140625" style="64" customWidth="1"/>
    <col min="11021" max="11260" width="9.140625" style="64"/>
    <col min="11261" max="11261" width="2" style="64" customWidth="1"/>
    <col min="11262" max="11263" width="9.140625" style="64"/>
    <col min="11264" max="11264" width="7.28515625" style="64" customWidth="1"/>
    <col min="11265" max="11265" width="2.85546875" style="64" customWidth="1"/>
    <col min="11266" max="11266" width="9.140625" style="64"/>
    <col min="11267" max="11267" width="10.5703125" style="64" customWidth="1"/>
    <col min="11268" max="11268" width="7.85546875" style="64" customWidth="1"/>
    <col min="11269" max="11269" width="2.85546875" style="64" customWidth="1"/>
    <col min="11270" max="11270" width="21" style="64" customWidth="1"/>
    <col min="11271" max="11271" width="23.5703125" style="64" customWidth="1"/>
    <col min="11272" max="11272" width="12.140625" style="64" customWidth="1"/>
    <col min="11273" max="11273" width="3.28515625" style="64" customWidth="1"/>
    <col min="11274" max="11274" width="26.85546875" style="64" customWidth="1"/>
    <col min="11275" max="11275" width="0" style="64" hidden="1" customWidth="1"/>
    <col min="11276" max="11276" width="2.140625" style="64" customWidth="1"/>
    <col min="11277" max="11516" width="9.140625" style="64"/>
    <col min="11517" max="11517" width="2" style="64" customWidth="1"/>
    <col min="11518" max="11519" width="9.140625" style="64"/>
    <col min="11520" max="11520" width="7.28515625" style="64" customWidth="1"/>
    <col min="11521" max="11521" width="2.85546875" style="64" customWidth="1"/>
    <col min="11522" max="11522" width="9.140625" style="64"/>
    <col min="11523" max="11523" width="10.5703125" style="64" customWidth="1"/>
    <col min="11524" max="11524" width="7.85546875" style="64" customWidth="1"/>
    <col min="11525" max="11525" width="2.85546875" style="64" customWidth="1"/>
    <col min="11526" max="11526" width="21" style="64" customWidth="1"/>
    <col min="11527" max="11527" width="23.5703125" style="64" customWidth="1"/>
    <col min="11528" max="11528" width="12.140625" style="64" customWidth="1"/>
    <col min="11529" max="11529" width="3.28515625" style="64" customWidth="1"/>
    <col min="11530" max="11530" width="26.85546875" style="64" customWidth="1"/>
    <col min="11531" max="11531" width="0" style="64" hidden="1" customWidth="1"/>
    <col min="11532" max="11532" width="2.140625" style="64" customWidth="1"/>
    <col min="11533" max="11772" width="9.140625" style="64"/>
    <col min="11773" max="11773" width="2" style="64" customWidth="1"/>
    <col min="11774" max="11775" width="9.140625" style="64"/>
    <col min="11776" max="11776" width="7.28515625" style="64" customWidth="1"/>
    <col min="11777" max="11777" width="2.85546875" style="64" customWidth="1"/>
    <col min="11778" max="11778" width="9.140625" style="64"/>
    <col min="11779" max="11779" width="10.5703125" style="64" customWidth="1"/>
    <col min="11780" max="11780" width="7.85546875" style="64" customWidth="1"/>
    <col min="11781" max="11781" width="2.85546875" style="64" customWidth="1"/>
    <col min="11782" max="11782" width="21" style="64" customWidth="1"/>
    <col min="11783" max="11783" width="23.5703125" style="64" customWidth="1"/>
    <col min="11784" max="11784" width="12.140625" style="64" customWidth="1"/>
    <col min="11785" max="11785" width="3.28515625" style="64" customWidth="1"/>
    <col min="11786" max="11786" width="26.85546875" style="64" customWidth="1"/>
    <col min="11787" max="11787" width="0" style="64" hidden="1" customWidth="1"/>
    <col min="11788" max="11788" width="2.140625" style="64" customWidth="1"/>
    <col min="11789" max="12028" width="9.140625" style="64"/>
    <col min="12029" max="12029" width="2" style="64" customWidth="1"/>
    <col min="12030" max="12031" width="9.140625" style="64"/>
    <col min="12032" max="12032" width="7.28515625" style="64" customWidth="1"/>
    <col min="12033" max="12033" width="2.85546875" style="64" customWidth="1"/>
    <col min="12034" max="12034" width="9.140625" style="64"/>
    <col min="12035" max="12035" width="10.5703125" style="64" customWidth="1"/>
    <col min="12036" max="12036" width="7.85546875" style="64" customWidth="1"/>
    <col min="12037" max="12037" width="2.85546875" style="64" customWidth="1"/>
    <col min="12038" max="12038" width="21" style="64" customWidth="1"/>
    <col min="12039" max="12039" width="23.5703125" style="64" customWidth="1"/>
    <col min="12040" max="12040" width="12.140625" style="64" customWidth="1"/>
    <col min="12041" max="12041" width="3.28515625" style="64" customWidth="1"/>
    <col min="12042" max="12042" width="26.85546875" style="64" customWidth="1"/>
    <col min="12043" max="12043" width="0" style="64" hidden="1" customWidth="1"/>
    <col min="12044" max="12044" width="2.140625" style="64" customWidth="1"/>
    <col min="12045" max="12284" width="9.140625" style="64"/>
    <col min="12285" max="12285" width="2" style="64" customWidth="1"/>
    <col min="12286" max="12287" width="9.140625" style="64"/>
    <col min="12288" max="12288" width="7.28515625" style="64" customWidth="1"/>
    <col min="12289" max="12289" width="2.85546875" style="64" customWidth="1"/>
    <col min="12290" max="12290" width="9.140625" style="64"/>
    <col min="12291" max="12291" width="10.5703125" style="64" customWidth="1"/>
    <col min="12292" max="12292" width="7.85546875" style="64" customWidth="1"/>
    <col min="12293" max="12293" width="2.85546875" style="64" customWidth="1"/>
    <col min="12294" max="12294" width="21" style="64" customWidth="1"/>
    <col min="12295" max="12295" width="23.5703125" style="64" customWidth="1"/>
    <col min="12296" max="12296" width="12.140625" style="64" customWidth="1"/>
    <col min="12297" max="12297" width="3.28515625" style="64" customWidth="1"/>
    <col min="12298" max="12298" width="26.85546875" style="64" customWidth="1"/>
    <col min="12299" max="12299" width="0" style="64" hidden="1" customWidth="1"/>
    <col min="12300" max="12300" width="2.140625" style="64" customWidth="1"/>
    <col min="12301" max="12540" width="9.140625" style="64"/>
    <col min="12541" max="12541" width="2" style="64" customWidth="1"/>
    <col min="12542" max="12543" width="9.140625" style="64"/>
    <col min="12544" max="12544" width="7.28515625" style="64" customWidth="1"/>
    <col min="12545" max="12545" width="2.85546875" style="64" customWidth="1"/>
    <col min="12546" max="12546" width="9.140625" style="64"/>
    <col min="12547" max="12547" width="10.5703125" style="64" customWidth="1"/>
    <col min="12548" max="12548" width="7.85546875" style="64" customWidth="1"/>
    <col min="12549" max="12549" width="2.85546875" style="64" customWidth="1"/>
    <col min="12550" max="12550" width="21" style="64" customWidth="1"/>
    <col min="12551" max="12551" width="23.5703125" style="64" customWidth="1"/>
    <col min="12552" max="12552" width="12.140625" style="64" customWidth="1"/>
    <col min="12553" max="12553" width="3.28515625" style="64" customWidth="1"/>
    <col min="12554" max="12554" width="26.85546875" style="64" customWidth="1"/>
    <col min="12555" max="12555" width="0" style="64" hidden="1" customWidth="1"/>
    <col min="12556" max="12556" width="2.140625" style="64" customWidth="1"/>
    <col min="12557" max="12796" width="9.140625" style="64"/>
    <col min="12797" max="12797" width="2" style="64" customWidth="1"/>
    <col min="12798" max="12799" width="9.140625" style="64"/>
    <col min="12800" max="12800" width="7.28515625" style="64" customWidth="1"/>
    <col min="12801" max="12801" width="2.85546875" style="64" customWidth="1"/>
    <col min="12802" max="12802" width="9.140625" style="64"/>
    <col min="12803" max="12803" width="10.5703125" style="64" customWidth="1"/>
    <col min="12804" max="12804" width="7.85546875" style="64" customWidth="1"/>
    <col min="12805" max="12805" width="2.85546875" style="64" customWidth="1"/>
    <col min="12806" max="12806" width="21" style="64" customWidth="1"/>
    <col min="12807" max="12807" width="23.5703125" style="64" customWidth="1"/>
    <col min="12808" max="12808" width="12.140625" style="64" customWidth="1"/>
    <col min="12809" max="12809" width="3.28515625" style="64" customWidth="1"/>
    <col min="12810" max="12810" width="26.85546875" style="64" customWidth="1"/>
    <col min="12811" max="12811" width="0" style="64" hidden="1" customWidth="1"/>
    <col min="12812" max="12812" width="2.140625" style="64" customWidth="1"/>
    <col min="12813" max="13052" width="9.140625" style="64"/>
    <col min="13053" max="13053" width="2" style="64" customWidth="1"/>
    <col min="13054" max="13055" width="9.140625" style="64"/>
    <col min="13056" max="13056" width="7.28515625" style="64" customWidth="1"/>
    <col min="13057" max="13057" width="2.85546875" style="64" customWidth="1"/>
    <col min="13058" max="13058" width="9.140625" style="64"/>
    <col min="13059" max="13059" width="10.5703125" style="64" customWidth="1"/>
    <col min="13060" max="13060" width="7.85546875" style="64" customWidth="1"/>
    <col min="13061" max="13061" width="2.85546875" style="64" customWidth="1"/>
    <col min="13062" max="13062" width="21" style="64" customWidth="1"/>
    <col min="13063" max="13063" width="23.5703125" style="64" customWidth="1"/>
    <col min="13064" max="13064" width="12.140625" style="64" customWidth="1"/>
    <col min="13065" max="13065" width="3.28515625" style="64" customWidth="1"/>
    <col min="13066" max="13066" width="26.85546875" style="64" customWidth="1"/>
    <col min="13067" max="13067" width="0" style="64" hidden="1" customWidth="1"/>
    <col min="13068" max="13068" width="2.140625" style="64" customWidth="1"/>
    <col min="13069" max="13308" width="9.140625" style="64"/>
    <col min="13309" max="13309" width="2" style="64" customWidth="1"/>
    <col min="13310" max="13311" width="9.140625" style="64"/>
    <col min="13312" max="13312" width="7.28515625" style="64" customWidth="1"/>
    <col min="13313" max="13313" width="2.85546875" style="64" customWidth="1"/>
    <col min="13314" max="13314" width="9.140625" style="64"/>
    <col min="13315" max="13315" width="10.5703125" style="64" customWidth="1"/>
    <col min="13316" max="13316" width="7.85546875" style="64" customWidth="1"/>
    <col min="13317" max="13317" width="2.85546875" style="64" customWidth="1"/>
    <col min="13318" max="13318" width="21" style="64" customWidth="1"/>
    <col min="13319" max="13319" width="23.5703125" style="64" customWidth="1"/>
    <col min="13320" max="13320" width="12.140625" style="64" customWidth="1"/>
    <col min="13321" max="13321" width="3.28515625" style="64" customWidth="1"/>
    <col min="13322" max="13322" width="26.85546875" style="64" customWidth="1"/>
    <col min="13323" max="13323" width="0" style="64" hidden="1" customWidth="1"/>
    <col min="13324" max="13324" width="2.140625" style="64" customWidth="1"/>
    <col min="13325" max="13564" width="9.140625" style="64"/>
    <col min="13565" max="13565" width="2" style="64" customWidth="1"/>
    <col min="13566" max="13567" width="9.140625" style="64"/>
    <col min="13568" max="13568" width="7.28515625" style="64" customWidth="1"/>
    <col min="13569" max="13569" width="2.85546875" style="64" customWidth="1"/>
    <col min="13570" max="13570" width="9.140625" style="64"/>
    <col min="13571" max="13571" width="10.5703125" style="64" customWidth="1"/>
    <col min="13572" max="13572" width="7.85546875" style="64" customWidth="1"/>
    <col min="13573" max="13573" width="2.85546875" style="64" customWidth="1"/>
    <col min="13574" max="13574" width="21" style="64" customWidth="1"/>
    <col min="13575" max="13575" width="23.5703125" style="64" customWidth="1"/>
    <col min="13576" max="13576" width="12.140625" style="64" customWidth="1"/>
    <col min="13577" max="13577" width="3.28515625" style="64" customWidth="1"/>
    <col min="13578" max="13578" width="26.85546875" style="64" customWidth="1"/>
    <col min="13579" max="13579" width="0" style="64" hidden="1" customWidth="1"/>
    <col min="13580" max="13580" width="2.140625" style="64" customWidth="1"/>
    <col min="13581" max="13820" width="9.140625" style="64"/>
    <col min="13821" max="13821" width="2" style="64" customWidth="1"/>
    <col min="13822" max="13823" width="9.140625" style="64"/>
    <col min="13824" max="13824" width="7.28515625" style="64" customWidth="1"/>
    <col min="13825" max="13825" width="2.85546875" style="64" customWidth="1"/>
    <col min="13826" max="13826" width="9.140625" style="64"/>
    <col min="13827" max="13827" width="10.5703125" style="64" customWidth="1"/>
    <col min="13828" max="13828" width="7.85546875" style="64" customWidth="1"/>
    <col min="13829" max="13829" width="2.85546875" style="64" customWidth="1"/>
    <col min="13830" max="13830" width="21" style="64" customWidth="1"/>
    <col min="13831" max="13831" width="23.5703125" style="64" customWidth="1"/>
    <col min="13832" max="13832" width="12.140625" style="64" customWidth="1"/>
    <col min="13833" max="13833" width="3.28515625" style="64" customWidth="1"/>
    <col min="13834" max="13834" width="26.85546875" style="64" customWidth="1"/>
    <col min="13835" max="13835" width="0" style="64" hidden="1" customWidth="1"/>
    <col min="13836" max="13836" width="2.140625" style="64" customWidth="1"/>
    <col min="13837" max="14076" width="9.140625" style="64"/>
    <col min="14077" max="14077" width="2" style="64" customWidth="1"/>
    <col min="14078" max="14079" width="9.140625" style="64"/>
    <col min="14080" max="14080" width="7.28515625" style="64" customWidth="1"/>
    <col min="14081" max="14081" width="2.85546875" style="64" customWidth="1"/>
    <col min="14082" max="14082" width="9.140625" style="64"/>
    <col min="14083" max="14083" width="10.5703125" style="64" customWidth="1"/>
    <col min="14084" max="14084" width="7.85546875" style="64" customWidth="1"/>
    <col min="14085" max="14085" width="2.85546875" style="64" customWidth="1"/>
    <col min="14086" max="14086" width="21" style="64" customWidth="1"/>
    <col min="14087" max="14087" width="23.5703125" style="64" customWidth="1"/>
    <col min="14088" max="14088" width="12.140625" style="64" customWidth="1"/>
    <col min="14089" max="14089" width="3.28515625" style="64" customWidth="1"/>
    <col min="14090" max="14090" width="26.85546875" style="64" customWidth="1"/>
    <col min="14091" max="14091" width="0" style="64" hidden="1" customWidth="1"/>
    <col min="14092" max="14092" width="2.140625" style="64" customWidth="1"/>
    <col min="14093" max="14332" width="9.140625" style="64"/>
    <col min="14333" max="14333" width="2" style="64" customWidth="1"/>
    <col min="14334" max="14335" width="9.140625" style="64"/>
    <col min="14336" max="14336" width="7.28515625" style="64" customWidth="1"/>
    <col min="14337" max="14337" width="2.85546875" style="64" customWidth="1"/>
    <col min="14338" max="14338" width="9.140625" style="64"/>
    <col min="14339" max="14339" width="10.5703125" style="64" customWidth="1"/>
    <col min="14340" max="14340" width="7.85546875" style="64" customWidth="1"/>
    <col min="14341" max="14341" width="2.85546875" style="64" customWidth="1"/>
    <col min="14342" max="14342" width="21" style="64" customWidth="1"/>
    <col min="14343" max="14343" width="23.5703125" style="64" customWidth="1"/>
    <col min="14344" max="14344" width="12.140625" style="64" customWidth="1"/>
    <col min="14345" max="14345" width="3.28515625" style="64" customWidth="1"/>
    <col min="14346" max="14346" width="26.85546875" style="64" customWidth="1"/>
    <col min="14347" max="14347" width="0" style="64" hidden="1" customWidth="1"/>
    <col min="14348" max="14348" width="2.140625" style="64" customWidth="1"/>
    <col min="14349" max="14588" width="9.140625" style="64"/>
    <col min="14589" max="14589" width="2" style="64" customWidth="1"/>
    <col min="14590" max="14591" width="9.140625" style="64"/>
    <col min="14592" max="14592" width="7.28515625" style="64" customWidth="1"/>
    <col min="14593" max="14593" width="2.85546875" style="64" customWidth="1"/>
    <col min="14594" max="14594" width="9.140625" style="64"/>
    <col min="14595" max="14595" width="10.5703125" style="64" customWidth="1"/>
    <col min="14596" max="14596" width="7.85546875" style="64" customWidth="1"/>
    <col min="14597" max="14597" width="2.85546875" style="64" customWidth="1"/>
    <col min="14598" max="14598" width="21" style="64" customWidth="1"/>
    <col min="14599" max="14599" width="23.5703125" style="64" customWidth="1"/>
    <col min="14600" max="14600" width="12.140625" style="64" customWidth="1"/>
    <col min="14601" max="14601" width="3.28515625" style="64" customWidth="1"/>
    <col min="14602" max="14602" width="26.85546875" style="64" customWidth="1"/>
    <col min="14603" max="14603" width="0" style="64" hidden="1" customWidth="1"/>
    <col min="14604" max="14604" width="2.140625" style="64" customWidth="1"/>
    <col min="14605" max="14844" width="9.140625" style="64"/>
    <col min="14845" max="14845" width="2" style="64" customWidth="1"/>
    <col min="14846" max="14847" width="9.140625" style="64"/>
    <col min="14848" max="14848" width="7.28515625" style="64" customWidth="1"/>
    <col min="14849" max="14849" width="2.85546875" style="64" customWidth="1"/>
    <col min="14850" max="14850" width="9.140625" style="64"/>
    <col min="14851" max="14851" width="10.5703125" style="64" customWidth="1"/>
    <col min="14852" max="14852" width="7.85546875" style="64" customWidth="1"/>
    <col min="14853" max="14853" width="2.85546875" style="64" customWidth="1"/>
    <col min="14854" max="14854" width="21" style="64" customWidth="1"/>
    <col min="14855" max="14855" width="23.5703125" style="64" customWidth="1"/>
    <col min="14856" max="14856" width="12.140625" style="64" customWidth="1"/>
    <col min="14857" max="14857" width="3.28515625" style="64" customWidth="1"/>
    <col min="14858" max="14858" width="26.85546875" style="64" customWidth="1"/>
    <col min="14859" max="14859" width="0" style="64" hidden="1" customWidth="1"/>
    <col min="14860" max="14860" width="2.140625" style="64" customWidth="1"/>
    <col min="14861" max="15100" width="9.140625" style="64"/>
    <col min="15101" max="15101" width="2" style="64" customWidth="1"/>
    <col min="15102" max="15103" width="9.140625" style="64"/>
    <col min="15104" max="15104" width="7.28515625" style="64" customWidth="1"/>
    <col min="15105" max="15105" width="2.85546875" style="64" customWidth="1"/>
    <col min="15106" max="15106" width="9.140625" style="64"/>
    <col min="15107" max="15107" width="10.5703125" style="64" customWidth="1"/>
    <col min="15108" max="15108" width="7.85546875" style="64" customWidth="1"/>
    <col min="15109" max="15109" width="2.85546875" style="64" customWidth="1"/>
    <col min="15110" max="15110" width="21" style="64" customWidth="1"/>
    <col min="15111" max="15111" width="23.5703125" style="64" customWidth="1"/>
    <col min="15112" max="15112" width="12.140625" style="64" customWidth="1"/>
    <col min="15113" max="15113" width="3.28515625" style="64" customWidth="1"/>
    <col min="15114" max="15114" width="26.85546875" style="64" customWidth="1"/>
    <col min="15115" max="15115" width="0" style="64" hidden="1" customWidth="1"/>
    <col min="15116" max="15116" width="2.140625" style="64" customWidth="1"/>
    <col min="15117" max="15356" width="9.140625" style="64"/>
    <col min="15357" max="15357" width="2" style="64" customWidth="1"/>
    <col min="15358" max="15359" width="9.140625" style="64"/>
    <col min="15360" max="15360" width="7.28515625" style="64" customWidth="1"/>
    <col min="15361" max="15361" width="2.85546875" style="64" customWidth="1"/>
    <col min="15362" max="15362" width="9.140625" style="64"/>
    <col min="15363" max="15363" width="10.5703125" style="64" customWidth="1"/>
    <col min="15364" max="15364" width="7.85546875" style="64" customWidth="1"/>
    <col min="15365" max="15365" width="2.85546875" style="64" customWidth="1"/>
    <col min="15366" max="15366" width="21" style="64" customWidth="1"/>
    <col min="15367" max="15367" width="23.5703125" style="64" customWidth="1"/>
    <col min="15368" max="15368" width="12.140625" style="64" customWidth="1"/>
    <col min="15369" max="15369" width="3.28515625" style="64" customWidth="1"/>
    <col min="15370" max="15370" width="26.85546875" style="64" customWidth="1"/>
    <col min="15371" max="15371" width="0" style="64" hidden="1" customWidth="1"/>
    <col min="15372" max="15372" width="2.140625" style="64" customWidth="1"/>
    <col min="15373" max="15612" width="9.140625" style="64"/>
    <col min="15613" max="15613" width="2" style="64" customWidth="1"/>
    <col min="15614" max="15615" width="9.140625" style="64"/>
    <col min="15616" max="15616" width="7.28515625" style="64" customWidth="1"/>
    <col min="15617" max="15617" width="2.85546875" style="64" customWidth="1"/>
    <col min="15618" max="15618" width="9.140625" style="64"/>
    <col min="15619" max="15619" width="10.5703125" style="64" customWidth="1"/>
    <col min="15620" max="15620" width="7.85546875" style="64" customWidth="1"/>
    <col min="15621" max="15621" width="2.85546875" style="64" customWidth="1"/>
    <col min="15622" max="15622" width="21" style="64" customWidth="1"/>
    <col min="15623" max="15623" width="23.5703125" style="64" customWidth="1"/>
    <col min="15624" max="15624" width="12.140625" style="64" customWidth="1"/>
    <col min="15625" max="15625" width="3.28515625" style="64" customWidth="1"/>
    <col min="15626" max="15626" width="26.85546875" style="64" customWidth="1"/>
    <col min="15627" max="15627" width="0" style="64" hidden="1" customWidth="1"/>
    <col min="15628" max="15628" width="2.140625" style="64" customWidth="1"/>
    <col min="15629" max="15868" width="9.140625" style="64"/>
    <col min="15869" max="15869" width="2" style="64" customWidth="1"/>
    <col min="15870" max="15871" width="9.140625" style="64"/>
    <col min="15872" max="15872" width="7.28515625" style="64" customWidth="1"/>
    <col min="15873" max="15873" width="2.85546875" style="64" customWidth="1"/>
    <col min="15874" max="15874" width="9.140625" style="64"/>
    <col min="15875" max="15875" width="10.5703125" style="64" customWidth="1"/>
    <col min="15876" max="15876" width="7.85546875" style="64" customWidth="1"/>
    <col min="15877" max="15877" width="2.85546875" style="64" customWidth="1"/>
    <col min="15878" max="15878" width="21" style="64" customWidth="1"/>
    <col min="15879" max="15879" width="23.5703125" style="64" customWidth="1"/>
    <col min="15880" max="15880" width="12.140625" style="64" customWidth="1"/>
    <col min="15881" max="15881" width="3.28515625" style="64" customWidth="1"/>
    <col min="15882" max="15882" width="26.85546875" style="64" customWidth="1"/>
    <col min="15883" max="15883" width="0" style="64" hidden="1" customWidth="1"/>
    <col min="15884" max="15884" width="2.140625" style="64" customWidth="1"/>
    <col min="15885" max="16124" width="9.140625" style="64"/>
    <col min="16125" max="16125" width="2" style="64" customWidth="1"/>
    <col min="16126" max="16127" width="9.140625" style="64"/>
    <col min="16128" max="16128" width="7.28515625" style="64" customWidth="1"/>
    <col min="16129" max="16129" width="2.85546875" style="64" customWidth="1"/>
    <col min="16130" max="16130" width="9.140625" style="64"/>
    <col min="16131" max="16131" width="10.5703125" style="64" customWidth="1"/>
    <col min="16132" max="16132" width="7.85546875" style="64" customWidth="1"/>
    <col min="16133" max="16133" width="2.85546875" style="64" customWidth="1"/>
    <col min="16134" max="16134" width="21" style="64" customWidth="1"/>
    <col min="16135" max="16135" width="23.5703125" style="64" customWidth="1"/>
    <col min="16136" max="16136" width="12.140625" style="64" customWidth="1"/>
    <col min="16137" max="16137" width="3.28515625" style="64" customWidth="1"/>
    <col min="16138" max="16138" width="26.85546875" style="64" customWidth="1"/>
    <col min="16139" max="16139" width="0" style="64" hidden="1" customWidth="1"/>
    <col min="16140" max="16140" width="2.140625" style="64" customWidth="1"/>
    <col min="16141" max="16384" width="9.140625" style="64"/>
  </cols>
  <sheetData>
    <row r="3" spans="2:17" ht="13.5" thickBot="1" x14ac:dyDescent="0.25"/>
    <row r="4" spans="2:17" ht="15.75" customHeight="1" thickTop="1" x14ac:dyDescent="0.2">
      <c r="G4" s="77"/>
      <c r="H4" s="77"/>
      <c r="I4" s="112" t="s">
        <v>197</v>
      </c>
      <c r="J4" s="113"/>
      <c r="K4" s="113"/>
      <c r="L4" s="114"/>
    </row>
    <row r="5" spans="2:17" ht="15" customHeight="1" x14ac:dyDescent="0.2">
      <c r="G5" s="77"/>
      <c r="H5" s="77"/>
      <c r="I5" s="115"/>
      <c r="J5" s="116"/>
      <c r="K5" s="116"/>
      <c r="L5" s="117"/>
    </row>
    <row r="6" spans="2:17" ht="15" customHeight="1" thickBot="1" x14ac:dyDescent="0.25">
      <c r="G6" s="77"/>
      <c r="H6" s="77"/>
      <c r="I6" s="118"/>
      <c r="J6" s="119"/>
      <c r="K6" s="119"/>
      <c r="L6" s="120"/>
    </row>
    <row r="7" spans="2:17" ht="13.5" thickTop="1" x14ac:dyDescent="0.2"/>
    <row r="14" spans="2:17" x14ac:dyDescent="0.2">
      <c r="F14" s="64" t="s">
        <v>196</v>
      </c>
      <c r="K14" s="65"/>
    </row>
    <row r="15" spans="2:17" ht="13.5" thickBot="1" x14ac:dyDescent="0.25">
      <c r="K15" s="65"/>
    </row>
    <row r="16" spans="2:17" ht="15.75" customHeight="1" thickTop="1" x14ac:dyDescent="0.2">
      <c r="B16" s="124" t="s">
        <v>198</v>
      </c>
      <c r="C16" s="125"/>
      <c r="D16" s="126"/>
      <c r="E16" s="78"/>
      <c r="F16" s="124" t="s">
        <v>201</v>
      </c>
      <c r="G16" s="125"/>
      <c r="H16" s="126"/>
      <c r="I16" s="78"/>
      <c r="J16" s="79" t="s">
        <v>205</v>
      </c>
      <c r="K16" s="69"/>
      <c r="L16" s="80" t="s">
        <v>209</v>
      </c>
      <c r="M16" s="81"/>
      <c r="N16" s="72"/>
      <c r="O16" s="79" t="s">
        <v>212</v>
      </c>
      <c r="P16" s="78"/>
      <c r="Q16" s="79" t="s">
        <v>215</v>
      </c>
    </row>
    <row r="17" spans="2:17" ht="29.25" customHeight="1" x14ac:dyDescent="0.2">
      <c r="B17" s="127" t="s">
        <v>199</v>
      </c>
      <c r="C17" s="128"/>
      <c r="D17" s="129"/>
      <c r="E17" s="78"/>
      <c r="F17" s="127" t="s">
        <v>66</v>
      </c>
      <c r="G17" s="128"/>
      <c r="H17" s="129"/>
      <c r="I17" s="78"/>
      <c r="J17" s="83" t="s">
        <v>206</v>
      </c>
      <c r="K17" s="70"/>
      <c r="L17" s="74" t="s">
        <v>76</v>
      </c>
      <c r="M17" s="84"/>
      <c r="N17" s="72"/>
      <c r="O17" s="85" t="s">
        <v>213</v>
      </c>
      <c r="P17" s="78"/>
      <c r="Q17" s="85" t="s">
        <v>104</v>
      </c>
    </row>
    <row r="18" spans="2:17" ht="15" customHeight="1" x14ac:dyDescent="0.2">
      <c r="B18" s="72"/>
      <c r="C18" s="84"/>
      <c r="D18" s="86"/>
      <c r="E18" s="78"/>
      <c r="F18" s="72"/>
      <c r="G18" s="84"/>
      <c r="H18" s="86"/>
      <c r="I18" s="78"/>
      <c r="J18" s="83"/>
      <c r="K18" s="78"/>
      <c r="L18" s="72"/>
      <c r="M18" s="84"/>
      <c r="N18" s="72"/>
      <c r="O18" s="83"/>
      <c r="P18" s="78"/>
      <c r="Q18" s="83"/>
    </row>
    <row r="19" spans="2:17" ht="12.75" customHeight="1" x14ac:dyDescent="0.2">
      <c r="B19" s="130" t="s">
        <v>200</v>
      </c>
      <c r="C19" s="131"/>
      <c r="D19" s="132"/>
      <c r="E19" s="78"/>
      <c r="F19" s="130" t="s">
        <v>202</v>
      </c>
      <c r="G19" s="131"/>
      <c r="H19" s="132"/>
      <c r="I19" s="78"/>
      <c r="J19" s="87" t="s">
        <v>207</v>
      </c>
      <c r="K19" s="78"/>
      <c r="L19" s="88" t="s">
        <v>210</v>
      </c>
      <c r="M19" s="89"/>
      <c r="N19" s="73"/>
      <c r="O19" s="87" t="s">
        <v>214</v>
      </c>
      <c r="P19" s="78"/>
      <c r="Q19" s="90" t="s">
        <v>216</v>
      </c>
    </row>
    <row r="20" spans="2:17" ht="15" customHeight="1" x14ac:dyDescent="0.2">
      <c r="B20" s="74"/>
      <c r="C20" s="91"/>
      <c r="D20" s="92"/>
      <c r="E20" s="78"/>
      <c r="F20" s="74"/>
      <c r="G20" s="91"/>
      <c r="H20" s="92"/>
      <c r="I20" s="78"/>
      <c r="J20" s="85"/>
      <c r="K20" s="78"/>
      <c r="L20" s="74"/>
      <c r="M20" s="91"/>
      <c r="N20" s="74"/>
      <c r="O20" s="85"/>
      <c r="P20" s="78"/>
      <c r="Q20" s="85"/>
    </row>
    <row r="21" spans="2:17" ht="12.75" customHeight="1" x14ac:dyDescent="0.2">
      <c r="B21" s="121" t="s">
        <v>55</v>
      </c>
      <c r="C21" s="122"/>
      <c r="D21" s="123"/>
      <c r="E21" s="78"/>
      <c r="F21" s="121" t="s">
        <v>55</v>
      </c>
      <c r="G21" s="122"/>
      <c r="H21" s="123"/>
      <c r="I21" s="78"/>
      <c r="J21" s="95" t="s">
        <v>55</v>
      </c>
      <c r="K21" s="78"/>
      <c r="L21" s="75" t="s">
        <v>55</v>
      </c>
      <c r="M21" s="96"/>
      <c r="N21" s="75"/>
      <c r="O21" s="95" t="s">
        <v>55</v>
      </c>
      <c r="P21" s="78"/>
      <c r="Q21" s="95" t="s">
        <v>105</v>
      </c>
    </row>
    <row r="22" spans="2:17" ht="12.75" customHeight="1" x14ac:dyDescent="0.2">
      <c r="B22" s="121" t="s">
        <v>199</v>
      </c>
      <c r="C22" s="122"/>
      <c r="D22" s="123"/>
      <c r="E22" s="78"/>
      <c r="F22" s="121" t="s">
        <v>65</v>
      </c>
      <c r="G22" s="122"/>
      <c r="H22" s="123"/>
      <c r="I22" s="78"/>
      <c r="J22" s="95" t="s">
        <v>80</v>
      </c>
      <c r="K22" s="78"/>
      <c r="L22" s="75" t="s">
        <v>211</v>
      </c>
      <c r="M22" s="96"/>
      <c r="N22" s="75"/>
      <c r="O22" s="95" t="s">
        <v>89</v>
      </c>
      <c r="P22" s="78"/>
      <c r="Q22" s="95" t="s">
        <v>106</v>
      </c>
    </row>
    <row r="23" spans="2:17" ht="12.75" customHeight="1" thickBot="1" x14ac:dyDescent="0.25">
      <c r="B23" s="121" t="s">
        <v>177</v>
      </c>
      <c r="C23" s="122"/>
      <c r="D23" s="123"/>
      <c r="E23" s="78"/>
      <c r="F23" s="121" t="s">
        <v>203</v>
      </c>
      <c r="G23" s="122"/>
      <c r="H23" s="123"/>
      <c r="I23" s="78"/>
      <c r="J23" s="95" t="s">
        <v>208</v>
      </c>
      <c r="K23" s="78"/>
      <c r="L23" s="75" t="s">
        <v>83</v>
      </c>
      <c r="M23" s="96"/>
      <c r="N23" s="75"/>
      <c r="O23" s="97"/>
      <c r="P23" s="78"/>
      <c r="Q23" s="95" t="s">
        <v>107</v>
      </c>
    </row>
    <row r="24" spans="2:17" ht="12.75" customHeight="1" thickTop="1" thickBot="1" x14ac:dyDescent="0.25">
      <c r="B24" s="121" t="s">
        <v>178</v>
      </c>
      <c r="C24" s="122"/>
      <c r="D24" s="123"/>
      <c r="E24" s="78"/>
      <c r="F24" s="121" t="s">
        <v>78</v>
      </c>
      <c r="G24" s="122"/>
      <c r="H24" s="123"/>
      <c r="I24" s="78"/>
      <c r="J24" s="97"/>
      <c r="K24" s="71"/>
      <c r="L24" s="75" t="s">
        <v>84</v>
      </c>
      <c r="M24" s="96"/>
      <c r="N24" s="75"/>
      <c r="O24" s="78"/>
      <c r="P24" s="78"/>
      <c r="Q24" s="95" t="s">
        <v>217</v>
      </c>
    </row>
    <row r="25" spans="2:17" ht="27" customHeight="1" thickTop="1" thickBot="1" x14ac:dyDescent="0.25">
      <c r="B25" s="98"/>
      <c r="C25" s="99"/>
      <c r="D25" s="100"/>
      <c r="E25" s="78"/>
      <c r="F25" s="121" t="s">
        <v>204</v>
      </c>
      <c r="G25" s="122"/>
      <c r="H25" s="123"/>
      <c r="I25" s="78"/>
      <c r="J25" s="78"/>
      <c r="K25" s="70"/>
      <c r="L25" s="75" t="s">
        <v>85</v>
      </c>
      <c r="M25" s="96"/>
      <c r="N25" s="75"/>
      <c r="O25" s="78"/>
      <c r="P25" s="78"/>
      <c r="Q25" s="95" t="s">
        <v>218</v>
      </c>
    </row>
    <row r="26" spans="2:17" ht="16.5" customHeight="1" thickTop="1" thickBot="1" x14ac:dyDescent="0.25">
      <c r="B26" s="101"/>
      <c r="C26" s="101"/>
      <c r="D26" s="101"/>
      <c r="E26" s="78"/>
      <c r="F26" s="102"/>
      <c r="G26" s="103"/>
      <c r="H26" s="104"/>
      <c r="I26" s="78"/>
      <c r="J26" s="78"/>
      <c r="K26" s="71"/>
      <c r="L26" s="75" t="s">
        <v>86</v>
      </c>
      <c r="M26" s="96"/>
      <c r="N26" s="75"/>
      <c r="O26" s="78"/>
      <c r="P26" s="78"/>
      <c r="Q26" s="97"/>
    </row>
    <row r="27" spans="2:17" ht="16.5" customHeight="1" thickTop="1" thickBot="1" x14ac:dyDescent="0.25">
      <c r="B27" s="70"/>
      <c r="C27" s="70"/>
      <c r="D27" s="70"/>
      <c r="E27" s="78"/>
      <c r="F27" s="101"/>
      <c r="G27" s="101"/>
      <c r="H27" s="101"/>
      <c r="I27" s="78"/>
      <c r="J27" s="78"/>
      <c r="K27" s="71"/>
      <c r="L27" s="102"/>
      <c r="M27" s="103"/>
      <c r="N27" s="76"/>
      <c r="O27" s="78"/>
      <c r="P27" s="78"/>
      <c r="Q27" s="78"/>
    </row>
    <row r="28" spans="2:17" ht="13.5" thickTop="1" x14ac:dyDescent="0.2">
      <c r="B28" s="67"/>
      <c r="C28" s="67"/>
      <c r="D28" s="67"/>
      <c r="F28" s="67"/>
      <c r="G28" s="67"/>
      <c r="H28" s="67"/>
      <c r="K28" s="66"/>
    </row>
    <row r="29" spans="2:17" x14ac:dyDescent="0.2">
      <c r="F29" s="67"/>
      <c r="G29" s="67"/>
      <c r="H29" s="67"/>
      <c r="K29" s="66"/>
    </row>
    <row r="30" spans="2:17" x14ac:dyDescent="0.2">
      <c r="F30" s="67"/>
      <c r="G30" s="67"/>
      <c r="H30" s="67"/>
      <c r="K30" s="66"/>
    </row>
    <row r="31" spans="2:17" x14ac:dyDescent="0.2">
      <c r="K31" s="65"/>
    </row>
    <row r="32" spans="2:17" x14ac:dyDescent="0.2">
      <c r="K32" s="65"/>
    </row>
    <row r="33" spans="11:12" x14ac:dyDescent="0.2">
      <c r="K33" s="65"/>
      <c r="L33" s="67"/>
    </row>
    <row r="34" spans="11:12" x14ac:dyDescent="0.2">
      <c r="L34" s="67"/>
    </row>
    <row r="35" spans="11:12" x14ac:dyDescent="0.2">
      <c r="L35" s="67"/>
    </row>
    <row r="36" spans="11:12" x14ac:dyDescent="0.2">
      <c r="L36" s="66"/>
    </row>
    <row r="37" spans="11:12" x14ac:dyDescent="0.2">
      <c r="L37" s="66"/>
    </row>
    <row r="38" spans="11:12" x14ac:dyDescent="0.2">
      <c r="L38" s="66"/>
    </row>
    <row r="39" spans="11:12" x14ac:dyDescent="0.2">
      <c r="L39" s="68"/>
    </row>
    <row r="40" spans="11:12" x14ac:dyDescent="0.2">
      <c r="L40" s="66"/>
    </row>
  </sheetData>
  <mergeCells count="16">
    <mergeCell ref="I4:L6"/>
    <mergeCell ref="F25:H25"/>
    <mergeCell ref="B22:D22"/>
    <mergeCell ref="B23:D23"/>
    <mergeCell ref="B24:D24"/>
    <mergeCell ref="F16:H16"/>
    <mergeCell ref="F17:H17"/>
    <mergeCell ref="F19:H19"/>
    <mergeCell ref="F21:H21"/>
    <mergeCell ref="F22:H22"/>
    <mergeCell ref="F23:H23"/>
    <mergeCell ref="F24:H24"/>
    <mergeCell ref="B16:D16"/>
    <mergeCell ref="B17:D17"/>
    <mergeCell ref="B19:D19"/>
    <mergeCell ref="B21:D21"/>
  </mergeCells>
  <printOptions horizontalCentered="1"/>
  <pageMargins left="0.19685039370078741" right="0.19685039370078741" top="1.1811023622047245" bottom="1.1811023622047245" header="0.51181102362204722" footer="0.51181102362204722"/>
  <pageSetup paperSize="9" scale="85" fitToHeight="0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H296"/>
  <sheetViews>
    <sheetView topLeftCell="A37" zoomScaleNormal="100" workbookViewId="0">
      <selection activeCell="A70" sqref="A70:XFD80"/>
    </sheetView>
  </sheetViews>
  <sheetFormatPr defaultRowHeight="12.75" x14ac:dyDescent="0.2"/>
  <cols>
    <col min="1" max="1" width="24.7109375" style="1" customWidth="1"/>
    <col min="2" max="2" width="18.7109375" style="1" customWidth="1"/>
    <col min="3" max="4" width="13" style="17" bestFit="1" customWidth="1"/>
    <col min="5" max="5" width="7.5703125" style="16" bestFit="1" customWidth="1"/>
    <col min="6" max="6" width="13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35" t="s">
        <v>65</v>
      </c>
      <c r="C2" s="135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20650.419999999998</v>
      </c>
      <c r="C9" s="24">
        <v>24199.97</v>
      </c>
      <c r="D9" s="24">
        <f>SUM(B9:C9)</f>
        <v>44850.39</v>
      </c>
      <c r="E9" s="111"/>
      <c r="F9" s="24">
        <v>44778.66</v>
      </c>
      <c r="G9" s="6"/>
    </row>
    <row r="10" spans="1:8" x14ac:dyDescent="0.2">
      <c r="A10" s="23" t="s">
        <v>34</v>
      </c>
      <c r="B10" s="24">
        <v>6464.26</v>
      </c>
      <c r="C10" s="24">
        <v>7224.18</v>
      </c>
      <c r="D10" s="24">
        <f>SUM(B10:C10)</f>
        <v>13688.44</v>
      </c>
      <c r="E10" s="111"/>
      <c r="F10" s="24">
        <v>13307.47</v>
      </c>
      <c r="G10" s="6"/>
    </row>
    <row r="11" spans="1:8" x14ac:dyDescent="0.2">
      <c r="A11" s="23" t="s">
        <v>113</v>
      </c>
      <c r="B11" s="24">
        <v>0</v>
      </c>
      <c r="C11" s="24"/>
      <c r="D11" s="24">
        <f>SUM(B11:C11)</f>
        <v>0</v>
      </c>
      <c r="E11" s="111"/>
      <c r="F11" s="24">
        <v>2541.52</v>
      </c>
      <c r="G11" s="6"/>
    </row>
    <row r="12" spans="1:8" x14ac:dyDescent="0.2">
      <c r="A12" s="38" t="s">
        <v>19</v>
      </c>
      <c r="B12" s="41">
        <f>SUM(B9:B11)</f>
        <v>27114.68</v>
      </c>
      <c r="C12" s="41">
        <f t="shared" ref="C12" si="0">SUM(C9:C10)</f>
        <v>31424.15</v>
      </c>
      <c r="D12" s="41">
        <f>SUM(D9:D11)</f>
        <v>58538.83</v>
      </c>
      <c r="E12" s="111">
        <f>D12/D36</f>
        <v>0.30370807788841153</v>
      </c>
      <c r="F12" s="27">
        <f>SUM(F9:F10)</f>
        <v>58086.130000000005</v>
      </c>
      <c r="G12" s="6"/>
    </row>
    <row r="13" spans="1:8" x14ac:dyDescent="0.2">
      <c r="A13" s="38" t="s">
        <v>20</v>
      </c>
      <c r="B13" s="41"/>
      <c r="C13" s="24"/>
      <c r="D13" s="24"/>
      <c r="E13" s="111"/>
      <c r="F13" s="24"/>
      <c r="G13" s="6"/>
    </row>
    <row r="14" spans="1:8" x14ac:dyDescent="0.2">
      <c r="A14" s="23" t="s">
        <v>38</v>
      </c>
      <c r="B14" s="24">
        <v>560</v>
      </c>
      <c r="C14" s="24"/>
      <c r="D14" s="24">
        <f>SUM(B14:C14)</f>
        <v>560</v>
      </c>
      <c r="E14" s="111"/>
      <c r="F14" s="24">
        <v>2007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111"/>
      <c r="F15" s="24"/>
      <c r="G15" s="6"/>
    </row>
    <row r="16" spans="1:8" x14ac:dyDescent="0.2">
      <c r="A16" s="38" t="s">
        <v>22</v>
      </c>
      <c r="B16" s="41">
        <f>SUM(B14:B15)</f>
        <v>560</v>
      </c>
      <c r="C16" s="41">
        <f>SUM(C14:C15)</f>
        <v>0</v>
      </c>
      <c r="D16" s="41">
        <f>SUM(B16:C16)</f>
        <v>560</v>
      </c>
      <c r="E16" s="111">
        <f>D16/D36</f>
        <v>2.9053625365848693E-3</v>
      </c>
      <c r="F16" s="27">
        <f>SUM(F14:F15)</f>
        <v>2007</v>
      </c>
      <c r="G16" s="6"/>
    </row>
    <row r="17" spans="1:7" x14ac:dyDescent="0.2">
      <c r="A17" s="38" t="s">
        <v>23</v>
      </c>
      <c r="B17" s="27"/>
      <c r="C17" s="24"/>
      <c r="D17" s="24"/>
      <c r="E17" s="111"/>
      <c r="F17" s="24"/>
      <c r="G17" s="6"/>
    </row>
    <row r="18" spans="1:7" x14ac:dyDescent="0.2">
      <c r="A18" s="23" t="s">
        <v>114</v>
      </c>
      <c r="B18" s="24">
        <v>0</v>
      </c>
      <c r="C18" s="24">
        <v>3200</v>
      </c>
      <c r="D18" s="24">
        <v>0</v>
      </c>
      <c r="E18" s="111"/>
      <c r="F18" s="24">
        <v>5200</v>
      </c>
      <c r="G18" s="6"/>
    </row>
    <row r="19" spans="1:7" x14ac:dyDescent="0.2">
      <c r="A19" s="23" t="s">
        <v>1</v>
      </c>
      <c r="B19" s="24">
        <f>35690.05+48137.43</f>
        <v>83827.48000000001</v>
      </c>
      <c r="C19" s="24"/>
      <c r="D19" s="24">
        <f>SUM(B19:C19)</f>
        <v>83827.48000000001</v>
      </c>
      <c r="E19" s="111"/>
      <c r="F19" s="24">
        <v>130106.74</v>
      </c>
      <c r="G19" s="6"/>
    </row>
    <row r="20" spans="1:7" x14ac:dyDescent="0.2">
      <c r="A20" s="23" t="s">
        <v>24</v>
      </c>
      <c r="B20" s="24">
        <v>9548.92</v>
      </c>
      <c r="C20" s="24">
        <v>12803.98</v>
      </c>
      <c r="D20" s="24">
        <f>SUM(B20:C20)</f>
        <v>22352.9</v>
      </c>
      <c r="E20" s="111"/>
      <c r="F20" s="24">
        <v>24431.01</v>
      </c>
      <c r="G20" s="6"/>
    </row>
    <row r="21" spans="1:7" x14ac:dyDescent="0.2">
      <c r="A21" s="23" t="s">
        <v>39</v>
      </c>
      <c r="B21" s="24">
        <v>11069.97</v>
      </c>
      <c r="C21" s="24">
        <v>9913.2000000000007</v>
      </c>
      <c r="D21" s="24">
        <f>SUM(B21:C21)</f>
        <v>20983.17</v>
      </c>
      <c r="E21" s="111"/>
      <c r="F21" s="24">
        <v>3489.51</v>
      </c>
      <c r="G21" s="6"/>
    </row>
    <row r="22" spans="1:7" x14ac:dyDescent="0.2">
      <c r="A22" s="23" t="s">
        <v>115</v>
      </c>
      <c r="B22" s="24">
        <v>0</v>
      </c>
      <c r="C22" s="24"/>
      <c r="D22" s="24">
        <v>0</v>
      </c>
      <c r="E22" s="111"/>
      <c r="F22" s="24">
        <v>78193.97</v>
      </c>
      <c r="G22" s="6"/>
    </row>
    <row r="23" spans="1:7" x14ac:dyDescent="0.2">
      <c r="A23" s="23" t="s">
        <v>124</v>
      </c>
      <c r="B23" s="24">
        <v>0</v>
      </c>
      <c r="C23" s="24"/>
      <c r="D23" s="24">
        <v>0</v>
      </c>
      <c r="E23" s="111"/>
      <c r="F23" s="24">
        <v>5088.57</v>
      </c>
      <c r="G23" s="6"/>
    </row>
    <row r="24" spans="1:7" x14ac:dyDescent="0.2">
      <c r="A24" s="23" t="s">
        <v>40</v>
      </c>
      <c r="B24" s="24">
        <v>807.45</v>
      </c>
      <c r="C24" s="24"/>
      <c r="D24" s="24">
        <f>SUM(B24:C24)</f>
        <v>807.45</v>
      </c>
      <c r="E24" s="111"/>
      <c r="F24" s="24">
        <v>1134.1300000000001</v>
      </c>
      <c r="G24" s="6"/>
    </row>
    <row r="25" spans="1:7" x14ac:dyDescent="0.2">
      <c r="A25" s="38" t="s">
        <v>25</v>
      </c>
      <c r="B25" s="41">
        <f>SUM(B18:B24)</f>
        <v>105253.82</v>
      </c>
      <c r="C25" s="41">
        <f>SUM(C19:C20)</f>
        <v>12803.98</v>
      </c>
      <c r="D25" s="41">
        <f>SUM(D18:D24)</f>
        <v>127971</v>
      </c>
      <c r="E25" s="111">
        <f>D25/D36</f>
        <v>0.66393240923089702</v>
      </c>
      <c r="F25" s="27">
        <f>SUM(F18:F24)</f>
        <v>247643.93000000002</v>
      </c>
      <c r="G25" s="6"/>
    </row>
    <row r="26" spans="1:7" x14ac:dyDescent="0.2">
      <c r="A26" s="38" t="s">
        <v>26</v>
      </c>
      <c r="B26" s="41"/>
      <c r="C26" s="24"/>
      <c r="D26" s="24"/>
      <c r="E26" s="111"/>
      <c r="F26" s="24"/>
      <c r="G26" s="6"/>
    </row>
    <row r="27" spans="1:7" x14ac:dyDescent="0.2">
      <c r="A27" s="23" t="s">
        <v>116</v>
      </c>
      <c r="B27" s="24">
        <v>0</v>
      </c>
      <c r="C27" s="24"/>
      <c r="D27" s="24">
        <v>0</v>
      </c>
      <c r="E27" s="111"/>
      <c r="F27" s="24">
        <v>24120</v>
      </c>
      <c r="G27" s="6"/>
    </row>
    <row r="28" spans="1:7" x14ac:dyDescent="0.2">
      <c r="A28" s="23" t="s">
        <v>94</v>
      </c>
      <c r="B28" s="24">
        <v>0</v>
      </c>
      <c r="C28" s="24"/>
      <c r="D28" s="24">
        <v>0</v>
      </c>
      <c r="E28" s="111"/>
      <c r="F28" s="24">
        <v>5073.17</v>
      </c>
      <c r="G28" s="6"/>
    </row>
    <row r="29" spans="1:7" x14ac:dyDescent="0.2">
      <c r="A29" s="23" t="s">
        <v>117</v>
      </c>
      <c r="B29" s="24">
        <v>0</v>
      </c>
      <c r="C29" s="24"/>
      <c r="D29" s="24">
        <f>SUM(B29:C29)</f>
        <v>0</v>
      </c>
      <c r="E29" s="111"/>
      <c r="F29" s="24">
        <v>29980</v>
      </c>
      <c r="G29" s="6"/>
    </row>
    <row r="30" spans="1:7" x14ac:dyDescent="0.2">
      <c r="A30" s="38" t="s">
        <v>27</v>
      </c>
      <c r="B30" s="41">
        <f>SUM(B27:B29)</f>
        <v>0</v>
      </c>
      <c r="C30" s="41">
        <f>SUM(C29)</f>
        <v>0</v>
      </c>
      <c r="D30" s="41">
        <f>SUM(B30:C30)</f>
        <v>0</v>
      </c>
      <c r="E30" s="111">
        <f>SUM(D30/D36)*100</f>
        <v>0</v>
      </c>
      <c r="F30" s="27">
        <f>SUM(F27:F29)</f>
        <v>59173.17</v>
      </c>
      <c r="G30" s="6"/>
    </row>
    <row r="31" spans="1:7" x14ac:dyDescent="0.2">
      <c r="A31" s="38" t="s">
        <v>28</v>
      </c>
      <c r="B31" s="27"/>
      <c r="C31" s="24"/>
      <c r="D31" s="24"/>
      <c r="E31" s="111"/>
      <c r="F31" s="24"/>
      <c r="G31" s="6"/>
    </row>
    <row r="32" spans="1:7" x14ac:dyDescent="0.2">
      <c r="A32" s="23" t="s">
        <v>37</v>
      </c>
      <c r="B32" s="24">
        <v>902.04</v>
      </c>
      <c r="C32" s="24">
        <v>1052.1099999999999</v>
      </c>
      <c r="D32" s="24">
        <f>SUM(B32:C32)</f>
        <v>1954.1499999999999</v>
      </c>
      <c r="E32" s="111"/>
      <c r="F32" s="24">
        <v>1956.67</v>
      </c>
      <c r="G32" s="6"/>
    </row>
    <row r="33" spans="1:7" x14ac:dyDescent="0.2">
      <c r="A33" s="23" t="s">
        <v>28</v>
      </c>
      <c r="B33" s="24">
        <v>3451.05</v>
      </c>
      <c r="C33" s="24">
        <v>272</v>
      </c>
      <c r="D33" s="24">
        <f>SUM(B33:C33)</f>
        <v>3723.05</v>
      </c>
      <c r="E33" s="111"/>
      <c r="F33" s="24">
        <v>4253.6400000000003</v>
      </c>
      <c r="G33" s="6"/>
    </row>
    <row r="34" spans="1:7" x14ac:dyDescent="0.2">
      <c r="A34" s="38" t="s">
        <v>29</v>
      </c>
      <c r="B34" s="41">
        <f>SUM(B32:B33)</f>
        <v>4353.09</v>
      </c>
      <c r="C34" s="41">
        <f t="shared" ref="C34" si="1">SUM(C32:C33)</f>
        <v>1324.11</v>
      </c>
      <c r="D34" s="41">
        <f>SUM(D32:D33)</f>
        <v>5677.2</v>
      </c>
      <c r="E34" s="111">
        <f>D34/D36</f>
        <v>2.9454150344106464E-2</v>
      </c>
      <c r="F34" s="27">
        <f>SUM(F32:F33)</f>
        <v>6210.31</v>
      </c>
      <c r="G34" s="6"/>
    </row>
    <row r="35" spans="1:7" x14ac:dyDescent="0.2">
      <c r="A35" s="38"/>
      <c r="B35" s="27"/>
      <c r="C35" s="24"/>
      <c r="D35" s="27"/>
      <c r="E35" s="111"/>
      <c r="F35" s="24"/>
      <c r="G35" s="6"/>
    </row>
    <row r="36" spans="1:7" x14ac:dyDescent="0.2">
      <c r="A36" s="38" t="s">
        <v>30</v>
      </c>
      <c r="B36" s="41">
        <f>SUM(B34,B30,B25,B16,B12)</f>
        <v>137281.59</v>
      </c>
      <c r="C36" s="41">
        <f>SUM(C34,C30,C25,C16,C12)</f>
        <v>45552.240000000005</v>
      </c>
      <c r="D36" s="41">
        <f>D12+D16+D25+D30+D34</f>
        <v>192747.03000000003</v>
      </c>
      <c r="E36" s="111">
        <f>SUM(E12:E34)</f>
        <v>0.99999999999999989</v>
      </c>
      <c r="F36" s="27">
        <f>F34+F30+F25+F16+F12</f>
        <v>373120.54000000004</v>
      </c>
      <c r="G36" s="6"/>
    </row>
    <row r="37" spans="1:7" x14ac:dyDescent="0.2">
      <c r="A37" s="9"/>
      <c r="B37" s="19"/>
      <c r="C37" s="19"/>
      <c r="D37" s="19"/>
      <c r="E37" s="4"/>
      <c r="F37" s="20"/>
      <c r="G37" s="6"/>
    </row>
    <row r="38" spans="1:7" x14ac:dyDescent="0.2">
      <c r="A38" s="9"/>
      <c r="B38" s="19"/>
      <c r="C38" s="19"/>
      <c r="D38" s="19"/>
      <c r="E38" s="4"/>
      <c r="F38" s="20"/>
      <c r="G38" s="6"/>
    </row>
    <row r="39" spans="1:7" x14ac:dyDescent="0.2">
      <c r="A39" s="9"/>
      <c r="B39" s="19"/>
      <c r="C39" s="19"/>
      <c r="D39" s="19"/>
      <c r="E39" s="4"/>
      <c r="F39" s="20"/>
      <c r="G39" s="6"/>
    </row>
    <row r="40" spans="1:7" x14ac:dyDescent="0.2">
      <c r="A40" s="9"/>
      <c r="B40" s="19"/>
      <c r="C40" s="19"/>
      <c r="D40" s="19"/>
      <c r="E40" s="4"/>
      <c r="F40" s="20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137</v>
      </c>
      <c r="B44" s="41"/>
      <c r="C44" s="41"/>
      <c r="D44" s="41"/>
      <c r="E44" s="43"/>
      <c r="F44" s="24"/>
      <c r="G44" s="6"/>
    </row>
    <row r="45" spans="1:7" x14ac:dyDescent="0.2">
      <c r="A45" s="45" t="s">
        <v>138</v>
      </c>
      <c r="B45" s="24">
        <v>14971.78</v>
      </c>
      <c r="C45" s="24">
        <v>0</v>
      </c>
      <c r="D45" s="24">
        <f>SUM(B45:C45)</f>
        <v>14971.78</v>
      </c>
      <c r="E45" s="40"/>
      <c r="F45" s="24">
        <v>18064.759999999998</v>
      </c>
      <c r="G45" s="6"/>
    </row>
    <row r="46" spans="1:7" x14ac:dyDescent="0.2">
      <c r="A46" s="45" t="s">
        <v>166</v>
      </c>
      <c r="B46" s="24">
        <v>0</v>
      </c>
      <c r="C46" s="24">
        <v>99534</v>
      </c>
      <c r="D46" s="24">
        <f>SUM(B46:C46)</f>
        <v>99534</v>
      </c>
      <c r="E46" s="40"/>
      <c r="F46" s="24">
        <v>1020356.04</v>
      </c>
      <c r="G46" s="6"/>
    </row>
    <row r="47" spans="1:7" x14ac:dyDescent="0.2">
      <c r="A47" s="45" t="s">
        <v>139</v>
      </c>
      <c r="B47" s="24">
        <v>1839608.58</v>
      </c>
      <c r="C47" s="24">
        <f>3555891.76-B47</f>
        <v>1716283.1799999997</v>
      </c>
      <c r="D47" s="24">
        <f>SUM(B47:C47)</f>
        <v>3555891.76</v>
      </c>
      <c r="E47" s="40"/>
      <c r="F47" s="24">
        <v>0</v>
      </c>
      <c r="G47" s="6"/>
    </row>
    <row r="48" spans="1:7" x14ac:dyDescent="0.2">
      <c r="A48" s="42" t="s">
        <v>131</v>
      </c>
      <c r="B48" s="41">
        <f>SUM(B45:B47)</f>
        <v>1854580.36</v>
      </c>
      <c r="C48" s="41">
        <f>SUM(C45:C47)</f>
        <v>1815817.1799999997</v>
      </c>
      <c r="D48" s="41">
        <f>SUM(D45:D47)</f>
        <v>3670397.5399999996</v>
      </c>
      <c r="E48" s="40">
        <f>(D48/D66)*100</f>
        <v>50.956345343156684</v>
      </c>
      <c r="F48" s="27">
        <f>SUM(F45:F47)</f>
        <v>1038420.8</v>
      </c>
      <c r="G48" s="6"/>
    </row>
    <row r="49" spans="1:7" x14ac:dyDescent="0.2">
      <c r="A49" s="42"/>
      <c r="B49" s="41"/>
      <c r="C49" s="41"/>
      <c r="D49" s="41"/>
      <c r="E49" s="43"/>
      <c r="F49" s="24"/>
      <c r="G49" s="6"/>
    </row>
    <row r="50" spans="1:7" x14ac:dyDescent="0.2">
      <c r="A50" s="46" t="s">
        <v>140</v>
      </c>
      <c r="B50" s="41"/>
      <c r="C50" s="41"/>
      <c r="D50" s="41"/>
      <c r="E50" s="43"/>
      <c r="F50" s="24"/>
      <c r="G50" s="6"/>
    </row>
    <row r="51" spans="1:7" x14ac:dyDescent="0.2">
      <c r="A51" s="45" t="s">
        <v>141</v>
      </c>
      <c r="B51" s="24">
        <v>59255</v>
      </c>
      <c r="C51" s="24">
        <f>2900664.49-B51</f>
        <v>2841409.49</v>
      </c>
      <c r="D51" s="24">
        <f>SUM(B51:C51)</f>
        <v>2900664.49</v>
      </c>
      <c r="E51" s="40"/>
      <c r="F51" s="24">
        <v>55610.75</v>
      </c>
      <c r="G51" s="6"/>
    </row>
    <row r="52" spans="1:7" x14ac:dyDescent="0.2">
      <c r="A52" s="45" t="s">
        <v>142</v>
      </c>
      <c r="B52" s="24">
        <v>31900.06</v>
      </c>
      <c r="C52" s="24">
        <f>376545-B52</f>
        <v>344644.94</v>
      </c>
      <c r="D52" s="24">
        <f>SUM(B52:C52)</f>
        <v>376545</v>
      </c>
      <c r="E52" s="40"/>
      <c r="F52" s="24">
        <v>0</v>
      </c>
      <c r="G52" s="6"/>
    </row>
    <row r="53" spans="1:7" x14ac:dyDescent="0.2">
      <c r="A53" s="42" t="s">
        <v>131</v>
      </c>
      <c r="B53" s="41">
        <f>SUM(B51:B52)</f>
        <v>91155.06</v>
      </c>
      <c r="C53" s="41">
        <f>SUM(C51:C52)</f>
        <v>3186054.43</v>
      </c>
      <c r="D53" s="41">
        <f>SUM(D51:D52)</f>
        <v>3277209.49</v>
      </c>
      <c r="E53" s="40">
        <f>(D53/D66)*100</f>
        <v>45.49769247456242</v>
      </c>
      <c r="F53" s="27">
        <f>SUM(F51:F52)</f>
        <v>55610.75</v>
      </c>
      <c r="G53" s="6"/>
    </row>
    <row r="54" spans="1:7" x14ac:dyDescent="0.2">
      <c r="A54" s="42"/>
      <c r="B54" s="41"/>
      <c r="C54" s="41"/>
      <c r="D54" s="41"/>
      <c r="E54" s="40"/>
      <c r="F54" s="24"/>
      <c r="G54" s="6"/>
    </row>
    <row r="55" spans="1:7" x14ac:dyDescent="0.2">
      <c r="A55" s="44" t="s">
        <v>128</v>
      </c>
      <c r="B55" s="41"/>
      <c r="C55" s="41"/>
      <c r="D55" s="41"/>
      <c r="E55" s="43"/>
      <c r="F55" s="24"/>
      <c r="G55" s="6"/>
    </row>
    <row r="56" spans="1:7" x14ac:dyDescent="0.2">
      <c r="A56" s="45" t="s">
        <v>128</v>
      </c>
      <c r="B56" s="24">
        <v>190136.3</v>
      </c>
      <c r="C56" s="24">
        <f>237849.19-B56</f>
        <v>47712.890000000014</v>
      </c>
      <c r="D56" s="24">
        <f>SUM(B56:C56)</f>
        <v>237849.19</v>
      </c>
      <c r="E56" s="40"/>
      <c r="F56" s="24">
        <v>204715.35</v>
      </c>
      <c r="G56" s="6"/>
    </row>
    <row r="57" spans="1:7" x14ac:dyDescent="0.2">
      <c r="A57" s="45" t="s">
        <v>143</v>
      </c>
      <c r="B57" s="24">
        <v>2790.74</v>
      </c>
      <c r="C57" s="24">
        <f>4014.46-B57</f>
        <v>1223.7200000000003</v>
      </c>
      <c r="D57" s="24">
        <f t="shared" ref="D57:D59" si="2">SUM(B57:C57)</f>
        <v>4014.46</v>
      </c>
      <c r="E57" s="40"/>
      <c r="F57" s="24">
        <v>3473.22</v>
      </c>
      <c r="G57" s="6"/>
    </row>
    <row r="58" spans="1:7" x14ac:dyDescent="0.2">
      <c r="A58" s="45" t="s">
        <v>167</v>
      </c>
      <c r="B58" s="24">
        <v>0</v>
      </c>
      <c r="C58" s="24">
        <v>0</v>
      </c>
      <c r="D58" s="24">
        <f t="shared" si="2"/>
        <v>0</v>
      </c>
      <c r="E58" s="40"/>
      <c r="F58" s="24">
        <v>3632.51</v>
      </c>
      <c r="G58" s="6"/>
    </row>
    <row r="59" spans="1:7" x14ac:dyDescent="0.2">
      <c r="A59" s="45" t="s">
        <v>126</v>
      </c>
      <c r="B59" s="24">
        <v>9086.2000000000007</v>
      </c>
      <c r="C59" s="24">
        <v>0</v>
      </c>
      <c r="D59" s="24">
        <f t="shared" si="2"/>
        <v>9086.2000000000007</v>
      </c>
      <c r="E59" s="40"/>
      <c r="F59" s="24">
        <v>30086.2</v>
      </c>
      <c r="G59" s="6"/>
    </row>
    <row r="60" spans="1:7" x14ac:dyDescent="0.2">
      <c r="A60" s="44" t="s">
        <v>129</v>
      </c>
      <c r="B60" s="41">
        <f>SUM(B56:B59)</f>
        <v>202013.24</v>
      </c>
      <c r="C60" s="41">
        <f>SUM(C56:C59)</f>
        <v>48936.610000000015</v>
      </c>
      <c r="D60" s="41">
        <f>SUM(D56:D59)</f>
        <v>250949.85</v>
      </c>
      <c r="E60" s="40">
        <f>(D60/D66)*100</f>
        <v>3.4839515559432752</v>
      </c>
      <c r="F60" s="27">
        <f>SUM(F56:F59)</f>
        <v>241907.28000000003</v>
      </c>
      <c r="G60" s="6"/>
    </row>
    <row r="61" spans="1:7" x14ac:dyDescent="0.2">
      <c r="A61" s="46"/>
      <c r="B61" s="41"/>
      <c r="C61" s="41"/>
      <c r="D61" s="27"/>
      <c r="E61" s="43"/>
      <c r="F61" s="24"/>
      <c r="G61" s="6"/>
    </row>
    <row r="62" spans="1:7" x14ac:dyDescent="0.2">
      <c r="A62" s="44" t="s">
        <v>127</v>
      </c>
      <c r="B62" s="41"/>
      <c r="C62" s="41"/>
      <c r="D62" s="41"/>
      <c r="E62" s="43"/>
      <c r="F62" s="24"/>
      <c r="G62" s="6"/>
    </row>
    <row r="63" spans="1:7" x14ac:dyDescent="0.2">
      <c r="A63" s="45" t="s">
        <v>127</v>
      </c>
      <c r="B63" s="24">
        <v>4466.6400000000003</v>
      </c>
      <c r="C63" s="24">
        <v>0</v>
      </c>
      <c r="D63" s="24">
        <f>SUM(B63:C63)</f>
        <v>4466.6400000000003</v>
      </c>
      <c r="E63" s="40"/>
      <c r="F63" s="24">
        <v>3852.23</v>
      </c>
      <c r="G63" s="6"/>
    </row>
    <row r="64" spans="1:7" x14ac:dyDescent="0.2">
      <c r="A64" s="44" t="s">
        <v>144</v>
      </c>
      <c r="B64" s="41">
        <f>SUM(B63)</f>
        <v>4466.6400000000003</v>
      </c>
      <c r="C64" s="41">
        <f>SUM(C63)</f>
        <v>0</v>
      </c>
      <c r="D64" s="27">
        <f>SUM(B64:C64)</f>
        <v>4466.6400000000003</v>
      </c>
      <c r="E64" s="51">
        <f>(D64/D66)*100</f>
        <v>6.2010626337646632E-2</v>
      </c>
      <c r="F64" s="27">
        <f>SUM(F63)</f>
        <v>3852.23</v>
      </c>
      <c r="G64" s="6"/>
    </row>
    <row r="65" spans="1:7" x14ac:dyDescent="0.2">
      <c r="A65" s="44"/>
      <c r="B65" s="41"/>
      <c r="C65" s="41"/>
      <c r="D65" s="27"/>
      <c r="E65" s="51"/>
      <c r="F65" s="24"/>
      <c r="G65" s="6"/>
    </row>
    <row r="66" spans="1:7" x14ac:dyDescent="0.2">
      <c r="A66" s="44" t="s">
        <v>60</v>
      </c>
      <c r="B66" s="41">
        <f>B48+B53+B60+B64</f>
        <v>2152215.3000000003</v>
      </c>
      <c r="C66" s="41">
        <f>C48+C53+C60+C64</f>
        <v>5050808.22</v>
      </c>
      <c r="D66" s="41">
        <f>D48+D53+D60+D64</f>
        <v>7203023.5199999986</v>
      </c>
      <c r="E66" s="49">
        <f>E48+E53+E60+E64</f>
        <v>100.00000000000003</v>
      </c>
      <c r="F66" s="41">
        <f>F48+F53+F60+F64</f>
        <v>1339791.06</v>
      </c>
      <c r="G66" s="6"/>
    </row>
    <row r="67" spans="1:7" x14ac:dyDescent="0.2">
      <c r="A67" s="50"/>
      <c r="B67" s="52"/>
      <c r="C67" s="52"/>
      <c r="D67" s="52"/>
      <c r="E67" s="53"/>
      <c r="F67" s="50"/>
    </row>
    <row r="68" spans="1:7" x14ac:dyDescent="0.2">
      <c r="A68" s="26" t="s">
        <v>32</v>
      </c>
      <c r="B68" s="54">
        <f>B66-B36</f>
        <v>2014933.7100000002</v>
      </c>
      <c r="C68" s="54">
        <f>C66-C36</f>
        <v>5005255.9799999995</v>
      </c>
      <c r="D68" s="54">
        <f>D66-D36</f>
        <v>7010276.4899999984</v>
      </c>
      <c r="E68" s="54"/>
      <c r="F68" s="54">
        <f>F66-F36</f>
        <v>966670.52</v>
      </c>
    </row>
    <row r="69" spans="1:7" x14ac:dyDescent="0.2">
      <c r="B69" s="15"/>
      <c r="C69" s="15"/>
      <c r="D69" s="15"/>
    </row>
    <row r="70" spans="1:7" x14ac:dyDescent="0.2">
      <c r="B70" s="15"/>
      <c r="C70" s="15"/>
      <c r="D70" s="15"/>
    </row>
    <row r="71" spans="1:7" x14ac:dyDescent="0.2">
      <c r="B71" s="15"/>
      <c r="C71" s="15"/>
      <c r="D71" s="15"/>
    </row>
    <row r="72" spans="1:7" x14ac:dyDescent="0.2">
      <c r="B72" s="15"/>
      <c r="C72" s="15"/>
      <c r="D72" s="15"/>
    </row>
    <row r="73" spans="1:7" x14ac:dyDescent="0.2">
      <c r="B73" s="15"/>
      <c r="C73" s="15"/>
      <c r="D73" s="15"/>
    </row>
    <row r="74" spans="1:7" x14ac:dyDescent="0.2">
      <c r="B74" s="15"/>
      <c r="C74" s="15"/>
      <c r="D74" s="15"/>
    </row>
    <row r="75" spans="1:7" x14ac:dyDescent="0.2">
      <c r="B75" s="15"/>
      <c r="C75" s="15"/>
      <c r="D75" s="15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  <row r="296" spans="2:4" x14ac:dyDescent="0.2">
      <c r="B296" s="15"/>
      <c r="C296" s="15"/>
      <c r="D296" s="15"/>
    </row>
  </sheetData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H289"/>
  <sheetViews>
    <sheetView topLeftCell="A19" workbookViewId="0">
      <selection activeCell="C33" sqref="C33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2.425781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50" t="s">
        <v>77</v>
      </c>
      <c r="C2" s="150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/>
      <c r="B9" s="24">
        <v>0</v>
      </c>
      <c r="C9" s="24"/>
      <c r="D9" s="24">
        <f>SUM(B9:C9)</f>
        <v>0</v>
      </c>
      <c r="E9" s="40"/>
      <c r="F9" s="24"/>
      <c r="G9" s="6"/>
    </row>
    <row r="10" spans="1:8" x14ac:dyDescent="0.2">
      <c r="A10" s="38" t="s">
        <v>19</v>
      </c>
      <c r="B10" s="41">
        <f>SUM(B9:B9)</f>
        <v>0</v>
      </c>
      <c r="C10" s="41">
        <f>SUM(C9:C9)</f>
        <v>0</v>
      </c>
      <c r="D10" s="41">
        <f>SUM(D9:D9)</f>
        <v>0</v>
      </c>
      <c r="E10" s="40">
        <f>SUM(D10/D26)*100</f>
        <v>0</v>
      </c>
      <c r="F10" s="27">
        <f>SUM(F9:F9)</f>
        <v>0</v>
      </c>
      <c r="G10" s="6"/>
    </row>
    <row r="11" spans="1:8" x14ac:dyDescent="0.2">
      <c r="A11" s="38" t="s">
        <v>20</v>
      </c>
      <c r="B11" s="41"/>
      <c r="C11" s="24"/>
      <c r="D11" s="24"/>
      <c r="E11" s="40"/>
      <c r="F11" s="24"/>
      <c r="G11" s="6"/>
    </row>
    <row r="12" spans="1:8" x14ac:dyDescent="0.2">
      <c r="A12" s="23"/>
      <c r="B12" s="24">
        <v>0</v>
      </c>
      <c r="C12" s="24"/>
      <c r="D12" s="24">
        <f>SUM(B12:C12)</f>
        <v>0</v>
      </c>
      <c r="E12" s="40"/>
      <c r="F12" s="24"/>
      <c r="G12" s="6"/>
    </row>
    <row r="13" spans="1:8" x14ac:dyDescent="0.2">
      <c r="A13" s="38" t="s">
        <v>22</v>
      </c>
      <c r="B13" s="41">
        <f>SUM(B12:B12)</f>
        <v>0</v>
      </c>
      <c r="C13" s="41">
        <f>SUM(C12:C12)</f>
        <v>0</v>
      </c>
      <c r="D13" s="41">
        <f>SUM(B13:C13)</f>
        <v>0</v>
      </c>
      <c r="E13" s="40">
        <f>SUM(D13/D26)*100</f>
        <v>0</v>
      </c>
      <c r="F13" s="27">
        <f>SUM(F12:F12)</f>
        <v>0</v>
      </c>
      <c r="G13" s="6"/>
    </row>
    <row r="14" spans="1:8" x14ac:dyDescent="0.2">
      <c r="A14" s="38" t="s">
        <v>23</v>
      </c>
      <c r="B14" s="27"/>
      <c r="C14" s="24"/>
      <c r="D14" s="24"/>
      <c r="E14" s="40"/>
      <c r="F14" s="24"/>
      <c r="G14" s="6"/>
    </row>
    <row r="15" spans="1:8" x14ac:dyDescent="0.2">
      <c r="A15" s="23"/>
      <c r="B15" s="24">
        <v>0</v>
      </c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25</v>
      </c>
      <c r="B16" s="41">
        <f>SUM(B15:B15)</f>
        <v>0</v>
      </c>
      <c r="C16" s="41">
        <f>SUM(C15)</f>
        <v>0</v>
      </c>
      <c r="D16" s="41">
        <f>SUM(B16:C16)</f>
        <v>0</v>
      </c>
      <c r="E16" s="40">
        <f>SUM(D16/D26)*100</f>
        <v>0</v>
      </c>
      <c r="F16" s="27">
        <f>SUM(F15)</f>
        <v>0</v>
      </c>
      <c r="G16" s="6"/>
    </row>
    <row r="17" spans="1:7" x14ac:dyDescent="0.2">
      <c r="A17" s="38" t="s">
        <v>26</v>
      </c>
      <c r="B17" s="41"/>
      <c r="C17" s="24"/>
      <c r="D17" s="24"/>
      <c r="E17" s="40"/>
      <c r="F17" s="24"/>
      <c r="G17" s="6"/>
    </row>
    <row r="18" spans="1:7" x14ac:dyDescent="0.2">
      <c r="A18" s="23" t="s">
        <v>41</v>
      </c>
      <c r="B18" s="24">
        <v>1260944.28</v>
      </c>
      <c r="C18" s="24"/>
      <c r="D18" s="24">
        <f>SUM(B18:C18)</f>
        <v>1260944.28</v>
      </c>
      <c r="E18" s="40"/>
      <c r="F18" s="24">
        <v>1600840.64</v>
      </c>
      <c r="G18" s="6"/>
    </row>
    <row r="19" spans="1:7" x14ac:dyDescent="0.2">
      <c r="A19" s="23" t="s">
        <v>42</v>
      </c>
      <c r="B19" s="24">
        <v>2731042.21</v>
      </c>
      <c r="C19" s="24"/>
      <c r="D19" s="24">
        <f>SUM(B19:C19)</f>
        <v>2731042.21</v>
      </c>
      <c r="E19" s="40"/>
      <c r="F19" s="24">
        <v>2475839.4700000002</v>
      </c>
      <c r="G19" s="6"/>
    </row>
    <row r="20" spans="1:7" x14ac:dyDescent="0.2">
      <c r="A20" s="38" t="s">
        <v>27</v>
      </c>
      <c r="B20" s="41">
        <f>SUM(B18:B19)</f>
        <v>3991986.49</v>
      </c>
      <c r="C20" s="41">
        <f>SUM(C18)</f>
        <v>0</v>
      </c>
      <c r="D20" s="41">
        <f>SUM(B20:C20)</f>
        <v>3991986.49</v>
      </c>
      <c r="E20" s="40">
        <f>SUM(D20/D26)*100</f>
        <v>100</v>
      </c>
      <c r="F20" s="27">
        <f>SUM(F18:F19)</f>
        <v>4076680.1100000003</v>
      </c>
      <c r="G20" s="6"/>
    </row>
    <row r="21" spans="1:7" x14ac:dyDescent="0.2">
      <c r="A21" s="38" t="s">
        <v>28</v>
      </c>
      <c r="B21" s="27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>
        <v>0</v>
      </c>
      <c r="G22" s="6"/>
    </row>
    <row r="23" spans="1:7" x14ac:dyDescent="0.2">
      <c r="A23" s="23"/>
      <c r="B23" s="24">
        <v>0</v>
      </c>
      <c r="C23" s="24"/>
      <c r="D23" s="24">
        <f>SUM(B23:C23)</f>
        <v>0</v>
      </c>
      <c r="E23" s="40"/>
      <c r="F23" s="24"/>
      <c r="G23" s="6"/>
    </row>
    <row r="24" spans="1:7" x14ac:dyDescent="0.2">
      <c r="A24" s="38" t="s">
        <v>29</v>
      </c>
      <c r="B24" s="41">
        <f>SUM(B22:B23)</f>
        <v>0</v>
      </c>
      <c r="C24" s="41">
        <f t="shared" ref="C24:D24" si="0">SUM(C22:C23)</f>
        <v>0</v>
      </c>
      <c r="D24" s="41">
        <f t="shared" si="0"/>
        <v>0</v>
      </c>
      <c r="E24" s="40">
        <f>SUM(D24/D26)*100</f>
        <v>0</v>
      </c>
      <c r="F24" s="27">
        <f>SUM(F22:F23)</f>
        <v>0</v>
      </c>
      <c r="G24" s="6"/>
    </row>
    <row r="25" spans="1:7" x14ac:dyDescent="0.2">
      <c r="A25" s="38"/>
      <c r="B25" s="27"/>
      <c r="C25" s="24"/>
      <c r="D25" s="27"/>
      <c r="E25" s="40"/>
      <c r="F25" s="24"/>
      <c r="G25" s="6"/>
    </row>
    <row r="26" spans="1:7" x14ac:dyDescent="0.2">
      <c r="A26" s="38" t="s">
        <v>30</v>
      </c>
      <c r="B26" s="41">
        <f>SUM(B24,B20,B16,B13,B10)</f>
        <v>3991986.49</v>
      </c>
      <c r="C26" s="41">
        <f>SUM(C24,C20,C16,C13,C10)</f>
        <v>0</v>
      </c>
      <c r="D26" s="41">
        <f>SUM(B26:C26)</f>
        <v>3991986.49</v>
      </c>
      <c r="E26" s="40">
        <f>SUM(E10:E24)</f>
        <v>100</v>
      </c>
      <c r="F26" s="27">
        <f>F24+F20+F16+F13+F10</f>
        <v>4076680.1100000003</v>
      </c>
      <c r="G26" s="6"/>
    </row>
    <row r="27" spans="1:7" x14ac:dyDescent="0.2">
      <c r="A27" s="23"/>
      <c r="B27" s="24"/>
      <c r="C27" s="24"/>
      <c r="D27" s="24"/>
      <c r="E27" s="40"/>
      <c r="F27" s="24"/>
      <c r="G27" s="6"/>
    </row>
    <row r="28" spans="1:7" x14ac:dyDescent="0.2">
      <c r="A28" s="42" t="s">
        <v>31</v>
      </c>
      <c r="B28" s="41"/>
      <c r="C28" s="41"/>
      <c r="D28" s="41"/>
      <c r="E28" s="43"/>
      <c r="F28" s="24"/>
      <c r="G28" s="6"/>
    </row>
    <row r="29" spans="1:7" x14ac:dyDescent="0.2">
      <c r="A29" s="46" t="s">
        <v>140</v>
      </c>
      <c r="B29" s="41"/>
      <c r="C29" s="41"/>
      <c r="D29" s="41"/>
      <c r="E29" s="43"/>
      <c r="F29" s="24"/>
      <c r="G29" s="6"/>
    </row>
    <row r="30" spans="1:7" x14ac:dyDescent="0.2">
      <c r="A30" s="45" t="s">
        <v>141</v>
      </c>
      <c r="B30" s="24">
        <v>12854.25</v>
      </c>
      <c r="C30" s="24">
        <v>0</v>
      </c>
      <c r="D30" s="24">
        <f>SUM(B30:C30)</f>
        <v>12854.25</v>
      </c>
      <c r="E30" s="40"/>
      <c r="F30" s="24"/>
      <c r="G30" s="6"/>
    </row>
    <row r="31" spans="1:7" x14ac:dyDescent="0.2">
      <c r="A31" s="45" t="s">
        <v>145</v>
      </c>
      <c r="B31" s="24">
        <v>7096.48</v>
      </c>
      <c r="C31" s="24"/>
      <c r="D31" s="24"/>
      <c r="E31" s="40"/>
      <c r="F31" s="24"/>
      <c r="G31" s="6"/>
    </row>
    <row r="32" spans="1:7" x14ac:dyDescent="0.2">
      <c r="A32" s="45" t="s">
        <v>142</v>
      </c>
      <c r="B32" s="24">
        <v>259975.13</v>
      </c>
      <c r="C32" s="24">
        <f>240299.47-'008'!B32+98057.37</f>
        <v>78381.709999999992</v>
      </c>
      <c r="D32" s="24">
        <f>SUM(B32:C32)</f>
        <v>338356.83999999997</v>
      </c>
      <c r="E32" s="40"/>
      <c r="F32" s="24"/>
      <c r="G32" s="6"/>
    </row>
    <row r="33" spans="1:7" x14ac:dyDescent="0.2">
      <c r="A33" s="42" t="s">
        <v>131</v>
      </c>
      <c r="B33" s="41">
        <f>SUM(B30:B32)</f>
        <v>279925.86</v>
      </c>
      <c r="C33" s="41">
        <f>SUM(C30:C32)</f>
        <v>78381.709999999992</v>
      </c>
      <c r="D33" s="41">
        <f>SUM(D30:D32)</f>
        <v>351211.08999999997</v>
      </c>
      <c r="E33" s="40">
        <f>(D33/D39)*100</f>
        <v>50.973278770038519</v>
      </c>
      <c r="F33" s="24"/>
      <c r="G33" s="6"/>
    </row>
    <row r="34" spans="1:7" x14ac:dyDescent="0.2">
      <c r="A34" s="42"/>
      <c r="B34" s="41"/>
      <c r="C34" s="41"/>
      <c r="D34" s="41"/>
      <c r="E34" s="40"/>
      <c r="F34" s="24"/>
      <c r="G34" s="6"/>
    </row>
    <row r="35" spans="1:7" x14ac:dyDescent="0.2">
      <c r="A35" s="44" t="s">
        <v>128</v>
      </c>
      <c r="B35" s="41"/>
      <c r="C35" s="41"/>
      <c r="D35" s="41"/>
      <c r="E35" s="43"/>
      <c r="F35" s="24"/>
      <c r="G35" s="6"/>
    </row>
    <row r="36" spans="1:7" x14ac:dyDescent="0.2">
      <c r="A36" s="45" t="s">
        <v>146</v>
      </c>
      <c r="B36" s="24">
        <v>337799.11</v>
      </c>
      <c r="C36" s="24">
        <v>0</v>
      </c>
      <c r="D36" s="24">
        <f>SUM(B36:C36)</f>
        <v>337799.11</v>
      </c>
      <c r="E36" s="40"/>
      <c r="F36" s="24">
        <v>94435.95</v>
      </c>
      <c r="G36" s="6"/>
    </row>
    <row r="37" spans="1:7" x14ac:dyDescent="0.2">
      <c r="A37" s="44" t="s">
        <v>129</v>
      </c>
      <c r="B37" s="41">
        <f>SUM(B36:B36)</f>
        <v>337799.11</v>
      </c>
      <c r="C37" s="41">
        <f>SUM(C36:C36)</f>
        <v>0</v>
      </c>
      <c r="D37" s="41">
        <f>SUM(D36:D36)</f>
        <v>337799.11</v>
      </c>
      <c r="E37" s="40">
        <f>(D37/D39)*100</f>
        <v>49.026721229961474</v>
      </c>
      <c r="F37" s="27">
        <f>SUM(F36)</f>
        <v>94435.95</v>
      </c>
      <c r="G37" s="6"/>
    </row>
    <row r="38" spans="1:7" x14ac:dyDescent="0.2">
      <c r="A38" s="44"/>
      <c r="B38" s="41"/>
      <c r="C38" s="41"/>
      <c r="D38" s="27"/>
      <c r="E38" s="51"/>
      <c r="F38" s="24"/>
      <c r="G38" s="6"/>
    </row>
    <row r="39" spans="1:7" x14ac:dyDescent="0.2">
      <c r="A39" s="44" t="s">
        <v>60</v>
      </c>
      <c r="B39" s="41">
        <f>B33+B37</f>
        <v>617724.97</v>
      </c>
      <c r="C39" s="41">
        <f t="shared" ref="C39:D39" si="1">C33+C37</f>
        <v>78381.709999999992</v>
      </c>
      <c r="D39" s="41">
        <f t="shared" si="1"/>
        <v>689010.2</v>
      </c>
      <c r="E39" s="49">
        <f>E33+E37</f>
        <v>100</v>
      </c>
      <c r="F39" s="41">
        <f>F37</f>
        <v>94435.95</v>
      </c>
      <c r="G39" s="6"/>
    </row>
    <row r="40" spans="1:7" x14ac:dyDescent="0.2">
      <c r="A40" s="23"/>
      <c r="B40" s="24"/>
      <c r="C40" s="24"/>
      <c r="D40" s="24"/>
      <c r="E40" s="40"/>
      <c r="F40" s="24"/>
      <c r="G40" s="6"/>
    </row>
    <row r="41" spans="1:7" x14ac:dyDescent="0.2">
      <c r="A41" s="26" t="s">
        <v>32</v>
      </c>
      <c r="B41" s="27">
        <f>B39-B26</f>
        <v>-3374261.5200000005</v>
      </c>
      <c r="C41" s="27">
        <f t="shared" ref="C41:E41" si="2">C39-C26</f>
        <v>78381.709999999992</v>
      </c>
      <c r="D41" s="27">
        <f t="shared" si="2"/>
        <v>-3302976.29</v>
      </c>
      <c r="E41" s="27">
        <f t="shared" si="2"/>
        <v>0</v>
      </c>
      <c r="F41" s="27">
        <f>F39-F26</f>
        <v>-3982244.16</v>
      </c>
      <c r="G41" s="6"/>
    </row>
    <row r="42" spans="1:7" x14ac:dyDescent="0.2">
      <c r="A42" s="7"/>
      <c r="B42" s="10"/>
      <c r="C42" s="10"/>
      <c r="D42" s="10"/>
      <c r="E42" s="4"/>
      <c r="F42" s="11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A44" s="12"/>
      <c r="B44" s="13"/>
      <c r="C44" s="13"/>
      <c r="D44" s="13"/>
      <c r="E44" s="14"/>
      <c r="F44" s="12"/>
      <c r="G44" s="6"/>
    </row>
    <row r="45" spans="1:7" x14ac:dyDescent="0.2">
      <c r="A45" s="12"/>
      <c r="B45" s="13"/>
      <c r="C45" s="13"/>
      <c r="D45" s="13"/>
      <c r="E45" s="14"/>
      <c r="F45" s="12"/>
      <c r="G45" s="6"/>
    </row>
    <row r="46" spans="1:7" x14ac:dyDescent="0.2">
      <c r="A46" s="12"/>
      <c r="B46" s="13"/>
      <c r="C46" s="13"/>
      <c r="D46" s="13"/>
      <c r="E46" s="14"/>
      <c r="F46" s="12"/>
      <c r="G46" s="6"/>
    </row>
    <row r="47" spans="1:7" x14ac:dyDescent="0.2">
      <c r="A47" s="12"/>
      <c r="B47" s="13"/>
      <c r="C47" s="13"/>
      <c r="D47" s="13"/>
      <c r="E47" s="14"/>
      <c r="F47" s="12"/>
      <c r="G47" s="6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</sheetData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H313"/>
  <sheetViews>
    <sheetView topLeftCell="A43" workbookViewId="0">
      <selection activeCell="C61" sqref="C61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1.5703125" style="17" bestFit="1" customWidth="1"/>
    <col min="4" max="4" width="13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50" t="s">
        <v>78</v>
      </c>
      <c r="C2" s="150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39862.49</v>
      </c>
      <c r="C9" s="24">
        <v>68549.03</v>
      </c>
      <c r="D9" s="24">
        <f>SUM(B9:C9)</f>
        <v>108411.51999999999</v>
      </c>
      <c r="E9" s="40"/>
      <c r="F9" s="24">
        <v>113314.98</v>
      </c>
      <c r="G9" s="6"/>
    </row>
    <row r="10" spans="1:8" x14ac:dyDescent="0.2">
      <c r="A10" s="23" t="s">
        <v>34</v>
      </c>
      <c r="B10" s="24">
        <v>11431.75</v>
      </c>
      <c r="C10" s="24">
        <v>18821.7</v>
      </c>
      <c r="D10" s="24">
        <f>SUM(B10:C10)</f>
        <v>30253.45</v>
      </c>
      <c r="E10" s="40"/>
      <c r="F10" s="24">
        <v>32918.9</v>
      </c>
      <c r="G10" s="6"/>
    </row>
    <row r="11" spans="1:8" x14ac:dyDescent="0.2">
      <c r="A11" s="38" t="s">
        <v>19</v>
      </c>
      <c r="B11" s="41">
        <f>SUM(B9:B10)</f>
        <v>51294.239999999998</v>
      </c>
      <c r="C11" s="41">
        <f t="shared" ref="C11:D11" si="0">SUM(C9:C10)</f>
        <v>87370.73</v>
      </c>
      <c r="D11" s="41">
        <f t="shared" si="0"/>
        <v>138664.97</v>
      </c>
      <c r="E11" s="40">
        <f>SUM(D11/D34)*100</f>
        <v>70.651945406437932</v>
      </c>
      <c r="F11" s="27">
        <f>SUM(F9:F10)</f>
        <v>146233.88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 t="s">
        <v>43</v>
      </c>
      <c r="B13" s="24">
        <v>20</v>
      </c>
      <c r="C13" s="24"/>
      <c r="D13" s="24">
        <f>SUM(B13:C13)</f>
        <v>20</v>
      </c>
      <c r="E13" s="40"/>
      <c r="F13" s="24">
        <v>0</v>
      </c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20</v>
      </c>
      <c r="C15" s="41">
        <f>SUM(C13:C14)</f>
        <v>0</v>
      </c>
      <c r="D15" s="41">
        <f>SUM(B15:C15)</f>
        <v>20</v>
      </c>
      <c r="E15" s="40">
        <f>SUM(D15/D34)*100</f>
        <v>1.0190309117931938E-2</v>
      </c>
      <c r="F15" s="27">
        <f>SUM(F13:F14)</f>
        <v>0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44</v>
      </c>
      <c r="B17" s="24">
        <v>869.28</v>
      </c>
      <c r="C17" s="24"/>
      <c r="D17" s="24">
        <f>SUM(B17:C17)</f>
        <v>869.28</v>
      </c>
      <c r="E17" s="40"/>
      <c r="F17" s="24">
        <v>3293.09</v>
      </c>
      <c r="G17" s="6"/>
    </row>
    <row r="18" spans="1:7" x14ac:dyDescent="0.2">
      <c r="A18" s="23" t="s">
        <v>192</v>
      </c>
      <c r="B18" s="24">
        <f>406.82+11716.17</f>
        <v>12122.99</v>
      </c>
      <c r="C18" s="24"/>
      <c r="D18" s="24">
        <f t="shared" ref="D18:D20" si="1">SUM(B18:C18)</f>
        <v>12122.99</v>
      </c>
      <c r="E18" s="40"/>
      <c r="F18" s="24">
        <f>652.56+17042.28</f>
        <v>17694.84</v>
      </c>
      <c r="G18" s="6"/>
    </row>
    <row r="19" spans="1:7" x14ac:dyDescent="0.2">
      <c r="A19" s="23" t="s">
        <v>3</v>
      </c>
      <c r="B19" s="24">
        <v>5119.13</v>
      </c>
      <c r="C19" s="24"/>
      <c r="D19" s="24">
        <f t="shared" si="1"/>
        <v>5119.13</v>
      </c>
      <c r="E19" s="40"/>
      <c r="F19" s="24">
        <f>10560.43/2</f>
        <v>5280.2150000000001</v>
      </c>
      <c r="G19" s="6"/>
    </row>
    <row r="20" spans="1:7" x14ac:dyDescent="0.2">
      <c r="A20" s="23" t="s">
        <v>191</v>
      </c>
      <c r="B20" s="24">
        <f>23085.23+328.82</f>
        <v>23414.05</v>
      </c>
      <c r="C20" s="24"/>
      <c r="D20" s="24">
        <f t="shared" si="1"/>
        <v>23414.05</v>
      </c>
      <c r="E20" s="40"/>
      <c r="F20" s="24">
        <f>760.26+31294.25</f>
        <v>32054.51</v>
      </c>
      <c r="G20" s="6"/>
    </row>
    <row r="21" spans="1:7" x14ac:dyDescent="0.2">
      <c r="A21" s="23" t="s">
        <v>188</v>
      </c>
      <c r="B21" s="24">
        <v>757.05</v>
      </c>
      <c r="C21" s="24"/>
      <c r="D21" s="24">
        <f>SUM(B21:C21)</f>
        <v>757.05</v>
      </c>
      <c r="E21" s="40"/>
      <c r="F21" s="24">
        <v>634.23</v>
      </c>
      <c r="G21" s="6"/>
    </row>
    <row r="22" spans="1:7" x14ac:dyDescent="0.2">
      <c r="A22" s="23" t="s">
        <v>67</v>
      </c>
      <c r="B22" s="24">
        <v>0</v>
      </c>
      <c r="C22" s="24">
        <v>596.22</v>
      </c>
      <c r="D22" s="24">
        <f>SUM(B22:C22)</f>
        <v>596.22</v>
      </c>
      <c r="E22" s="40"/>
      <c r="F22" s="24"/>
      <c r="G22" s="6"/>
    </row>
    <row r="23" spans="1:7" x14ac:dyDescent="0.2">
      <c r="A23" s="23" t="s">
        <v>189</v>
      </c>
      <c r="B23" s="24">
        <f>346.28+1546.47</f>
        <v>1892.75</v>
      </c>
      <c r="C23" s="24"/>
      <c r="D23" s="24">
        <f>SUM(B23:C23)</f>
        <v>1892.75</v>
      </c>
      <c r="E23" s="40"/>
      <c r="F23" s="24">
        <f>(918.42-39.89+495.87)/2</f>
        <v>687.2</v>
      </c>
      <c r="G23" s="6"/>
    </row>
    <row r="24" spans="1:7" x14ac:dyDescent="0.2">
      <c r="A24" s="38" t="s">
        <v>25</v>
      </c>
      <c r="B24" s="41">
        <f>SUM(B17:B23)</f>
        <v>44175.25</v>
      </c>
      <c r="C24" s="41">
        <f>SUM(C17:C23)</f>
        <v>596.22</v>
      </c>
      <c r="D24" s="41">
        <f>SUM(D17:D23)</f>
        <v>44771.47</v>
      </c>
      <c r="E24" s="40">
        <f>SUM(D24/D34)*100</f>
        <v>22.811755948210813</v>
      </c>
      <c r="F24" s="27">
        <f>SUM(F17:F17)</f>
        <v>3293.09</v>
      </c>
      <c r="G24" s="6"/>
    </row>
    <row r="25" spans="1:7" x14ac:dyDescent="0.2">
      <c r="A25" s="38" t="s">
        <v>26</v>
      </c>
      <c r="B25" s="41"/>
      <c r="C25" s="24"/>
      <c r="D25" s="24"/>
      <c r="E25" s="40"/>
      <c r="F25" s="24"/>
      <c r="G25" s="6"/>
    </row>
    <row r="26" spans="1:7" x14ac:dyDescent="0.2">
      <c r="A26" s="23"/>
      <c r="B26" s="24">
        <v>0</v>
      </c>
      <c r="C26" s="24"/>
      <c r="D26" s="24">
        <f>SUM(B26:C26)</f>
        <v>0</v>
      </c>
      <c r="E26" s="40"/>
      <c r="F26" s="24"/>
      <c r="G26" s="6"/>
    </row>
    <row r="27" spans="1:7" x14ac:dyDescent="0.2">
      <c r="A27" s="23"/>
      <c r="B27" s="24">
        <v>0</v>
      </c>
      <c r="C27" s="24"/>
      <c r="D27" s="24"/>
      <c r="E27" s="40"/>
      <c r="F27" s="24"/>
      <c r="G27" s="6"/>
    </row>
    <row r="28" spans="1:7" x14ac:dyDescent="0.2">
      <c r="A28" s="38" t="s">
        <v>27</v>
      </c>
      <c r="B28" s="41">
        <f>SUM(B26)</f>
        <v>0</v>
      </c>
      <c r="C28" s="41">
        <f>SUM(C26)</f>
        <v>0</v>
      </c>
      <c r="D28" s="41">
        <f>SUM(B28:C28)</f>
        <v>0</v>
      </c>
      <c r="E28" s="40">
        <f>SUM(D28/D34)*100</f>
        <v>0</v>
      </c>
      <c r="F28" s="27">
        <f>SUM(F26)</f>
        <v>0</v>
      </c>
      <c r="G28" s="6"/>
    </row>
    <row r="29" spans="1:7" x14ac:dyDescent="0.2">
      <c r="A29" s="38" t="s">
        <v>28</v>
      </c>
      <c r="B29" s="27"/>
      <c r="C29" s="24"/>
      <c r="D29" s="24"/>
      <c r="E29" s="40"/>
      <c r="F29" s="24"/>
      <c r="G29" s="6"/>
    </row>
    <row r="30" spans="1:7" x14ac:dyDescent="0.2">
      <c r="A30" s="23" t="s">
        <v>37</v>
      </c>
      <c r="B30" s="24">
        <v>3388.31</v>
      </c>
      <c r="C30" s="24">
        <v>5863.36</v>
      </c>
      <c r="D30" s="24">
        <f>SUM(B30:C30)</f>
        <v>9251.67</v>
      </c>
      <c r="E30" s="40"/>
      <c r="F30" s="24">
        <v>10232.48</v>
      </c>
      <c r="G30" s="6"/>
    </row>
    <row r="31" spans="1:7" x14ac:dyDescent="0.2">
      <c r="A31" s="23" t="s">
        <v>28</v>
      </c>
      <c r="B31" s="24">
        <v>3556.79</v>
      </c>
      <c r="C31" s="24"/>
      <c r="D31" s="24">
        <f>SUM(B31:C31)</f>
        <v>3556.79</v>
      </c>
      <c r="E31" s="40"/>
      <c r="F31" s="24">
        <v>64140.75</v>
      </c>
      <c r="G31" s="6"/>
    </row>
    <row r="32" spans="1:7" x14ac:dyDescent="0.2">
      <c r="A32" s="38" t="s">
        <v>29</v>
      </c>
      <c r="B32" s="41">
        <f>SUM(B30:B31)</f>
        <v>6945.1</v>
      </c>
      <c r="C32" s="41">
        <f t="shared" ref="C32:D32" si="2">SUM(C30:C31)</f>
        <v>5863.36</v>
      </c>
      <c r="D32" s="41">
        <f t="shared" si="2"/>
        <v>12808.46</v>
      </c>
      <c r="E32" s="40">
        <f>SUM(D32/D34)*100</f>
        <v>6.5261083362333254</v>
      </c>
      <c r="F32" s="27">
        <f>SUM(F30:F31)</f>
        <v>74373.23</v>
      </c>
      <c r="G32" s="6"/>
    </row>
    <row r="33" spans="1:7" x14ac:dyDescent="0.2">
      <c r="A33" s="38"/>
      <c r="B33" s="27"/>
      <c r="C33" s="24"/>
      <c r="D33" s="27"/>
      <c r="E33" s="40"/>
      <c r="F33" s="24"/>
      <c r="G33" s="6"/>
    </row>
    <row r="34" spans="1:7" x14ac:dyDescent="0.2">
      <c r="A34" s="38" t="s">
        <v>30</v>
      </c>
      <c r="B34" s="41">
        <f>SUM(B32,B28,B24,B15,B11)</f>
        <v>102434.59</v>
      </c>
      <c r="C34" s="41">
        <f>SUM(C32,C28,C24,C15,C11)</f>
        <v>93830.31</v>
      </c>
      <c r="D34" s="41">
        <f>SUM(B34:C34)</f>
        <v>196264.9</v>
      </c>
      <c r="E34" s="40">
        <f>SUM(E11:E32)</f>
        <v>100</v>
      </c>
      <c r="F34" s="27">
        <f>F32+F28+F24+F15+F11</f>
        <v>223900.2</v>
      </c>
      <c r="G34" s="6"/>
    </row>
    <row r="35" spans="1:7" x14ac:dyDescent="0.2">
      <c r="A35" s="6"/>
      <c r="B35" s="18"/>
      <c r="C35" s="18"/>
      <c r="D35" s="18"/>
      <c r="E35" s="4"/>
      <c r="F35" s="18"/>
      <c r="G35" s="6"/>
    </row>
    <row r="36" spans="1:7" x14ac:dyDescent="0.2">
      <c r="A36" s="6"/>
      <c r="B36" s="18"/>
      <c r="C36" s="18"/>
      <c r="D36" s="18"/>
      <c r="E36" s="4"/>
      <c r="F36" s="18"/>
      <c r="G36" s="6"/>
    </row>
    <row r="37" spans="1:7" x14ac:dyDescent="0.2">
      <c r="A37" s="6"/>
      <c r="B37" s="18"/>
      <c r="C37" s="18"/>
      <c r="D37" s="18"/>
      <c r="E37" s="4"/>
      <c r="F37" s="18"/>
      <c r="G37" s="6"/>
    </row>
    <row r="38" spans="1:7" x14ac:dyDescent="0.2">
      <c r="A38" s="6"/>
      <c r="B38" s="18"/>
      <c r="C38" s="18"/>
      <c r="D38" s="18"/>
      <c r="E38" s="4"/>
      <c r="F38" s="18"/>
      <c r="G38" s="6"/>
    </row>
    <row r="39" spans="1:7" x14ac:dyDescent="0.2">
      <c r="A39" s="6"/>
      <c r="B39" s="18"/>
      <c r="C39" s="18"/>
      <c r="D39" s="18"/>
      <c r="E39" s="4"/>
      <c r="F39" s="18"/>
      <c r="G39" s="6"/>
    </row>
    <row r="40" spans="1:7" x14ac:dyDescent="0.2">
      <c r="A40" s="6"/>
      <c r="B40" s="18"/>
      <c r="C40" s="18"/>
      <c r="D40" s="18"/>
      <c r="E40" s="4"/>
      <c r="F40" s="18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6"/>
      <c r="B43" s="18"/>
      <c r="C43" s="18"/>
      <c r="D43" s="18"/>
      <c r="E43" s="4"/>
      <c r="F43" s="18"/>
      <c r="G43" s="6"/>
    </row>
    <row r="44" spans="1:7" x14ac:dyDescent="0.2">
      <c r="A44" s="6"/>
      <c r="B44" s="18"/>
      <c r="C44" s="18"/>
      <c r="D44" s="18"/>
      <c r="E44" s="4"/>
      <c r="F44" s="18"/>
      <c r="G44" s="6"/>
    </row>
    <row r="45" spans="1:7" x14ac:dyDescent="0.2">
      <c r="A45" s="6"/>
      <c r="B45" s="18"/>
      <c r="C45" s="18"/>
      <c r="D45" s="18"/>
      <c r="E45" s="4"/>
      <c r="F45" s="18"/>
      <c r="G45" s="6"/>
    </row>
    <row r="46" spans="1:7" x14ac:dyDescent="0.2">
      <c r="A46" s="42" t="s">
        <v>31</v>
      </c>
      <c r="B46" s="41"/>
      <c r="C46" s="41"/>
      <c r="D46" s="41"/>
      <c r="E46" s="43"/>
      <c r="F46" s="24"/>
      <c r="G46" s="6"/>
    </row>
    <row r="47" spans="1:7" x14ac:dyDescent="0.2">
      <c r="A47" s="46" t="s">
        <v>132</v>
      </c>
      <c r="B47" s="41"/>
      <c r="C47" s="41"/>
      <c r="D47" s="41"/>
      <c r="E47" s="43"/>
      <c r="F47" s="24"/>
      <c r="G47" s="6"/>
    </row>
    <row r="48" spans="1:7" x14ac:dyDescent="0.2">
      <c r="A48" s="45" t="s">
        <v>130</v>
      </c>
      <c r="B48" s="24">
        <v>17022.080000000002</v>
      </c>
      <c r="C48" s="24">
        <v>2529.44</v>
      </c>
      <c r="D48" s="24">
        <f>SUM(B48:C48)</f>
        <v>19551.52</v>
      </c>
      <c r="E48" s="40"/>
      <c r="F48" s="24">
        <v>11433.15</v>
      </c>
      <c r="G48" s="6"/>
    </row>
    <row r="49" spans="1:7" x14ac:dyDescent="0.2">
      <c r="A49" s="45" t="s">
        <v>147</v>
      </c>
      <c r="B49" s="24">
        <v>617.55999999999995</v>
      </c>
      <c r="C49" s="24">
        <f>1022.47-B49</f>
        <v>404.91000000000008</v>
      </c>
      <c r="D49" s="24">
        <f>SUM(B49:C49)</f>
        <v>1022.47</v>
      </c>
      <c r="E49" s="40"/>
      <c r="F49" s="24">
        <v>3235.44</v>
      </c>
      <c r="G49" s="6"/>
    </row>
    <row r="50" spans="1:7" x14ac:dyDescent="0.2">
      <c r="A50" s="42" t="s">
        <v>131</v>
      </c>
      <c r="B50" s="41">
        <f>SUM(B48:B49)</f>
        <v>17639.640000000003</v>
      </c>
      <c r="C50" s="41">
        <f t="shared" ref="C50:D50" si="3">SUM(C48:C49)</f>
        <v>2934.3500000000004</v>
      </c>
      <c r="D50" s="41">
        <f t="shared" si="3"/>
        <v>20573.990000000002</v>
      </c>
      <c r="E50" s="40">
        <f>(D50/D63)*100</f>
        <v>2.1516353796378103</v>
      </c>
      <c r="F50" s="27">
        <f>SUM(F48:F49)</f>
        <v>14668.59</v>
      </c>
      <c r="G50" s="6"/>
    </row>
    <row r="51" spans="1:7" x14ac:dyDescent="0.2">
      <c r="A51" s="42"/>
      <c r="B51" s="41"/>
      <c r="C51" s="41"/>
      <c r="D51" s="41"/>
      <c r="E51" s="43"/>
      <c r="F51" s="24"/>
      <c r="G51" s="6"/>
    </row>
    <row r="52" spans="1:7" x14ac:dyDescent="0.2">
      <c r="A52" s="44" t="s">
        <v>134</v>
      </c>
      <c r="B52" s="41"/>
      <c r="C52" s="41"/>
      <c r="D52" s="41"/>
      <c r="E52" s="43"/>
      <c r="F52" s="24"/>
      <c r="G52" s="6"/>
    </row>
    <row r="53" spans="1:7" x14ac:dyDescent="0.2">
      <c r="A53" s="45" t="s">
        <v>148</v>
      </c>
      <c r="B53" s="24">
        <v>11610</v>
      </c>
      <c r="C53" s="24">
        <f>17910-B53</f>
        <v>6300</v>
      </c>
      <c r="D53" s="24">
        <f>SUM(B53:C53)</f>
        <v>17910</v>
      </c>
      <c r="E53" s="40"/>
      <c r="F53" s="24">
        <v>19325.3</v>
      </c>
      <c r="G53" s="6"/>
    </row>
    <row r="54" spans="1:7" x14ac:dyDescent="0.2">
      <c r="A54" s="45" t="s">
        <v>168</v>
      </c>
      <c r="B54" s="24">
        <v>50000</v>
      </c>
      <c r="C54" s="24">
        <f>82051.22-B54</f>
        <v>32051.22</v>
      </c>
      <c r="D54" s="24">
        <f>SUM(B54:C54)</f>
        <v>82051.22</v>
      </c>
      <c r="E54" s="40"/>
      <c r="F54" s="24">
        <v>75000</v>
      </c>
      <c r="G54" s="6"/>
    </row>
    <row r="55" spans="1:7" x14ac:dyDescent="0.2">
      <c r="A55" s="45" t="s">
        <v>149</v>
      </c>
      <c r="B55" s="24">
        <v>721212.22</v>
      </c>
      <c r="C55" s="24">
        <f>801995.28-B55</f>
        <v>80783.060000000056</v>
      </c>
      <c r="D55" s="24">
        <f>SUM(B55:C55)</f>
        <v>801995.28</v>
      </c>
      <c r="E55" s="40"/>
      <c r="F55" s="24">
        <f>569673.18+2972.63</f>
        <v>572645.81000000006</v>
      </c>
      <c r="G55" s="6"/>
    </row>
    <row r="56" spans="1:7" x14ac:dyDescent="0.2">
      <c r="A56" s="44" t="s">
        <v>135</v>
      </c>
      <c r="B56" s="41">
        <f>SUM(B53:B55)</f>
        <v>782822.22</v>
      </c>
      <c r="C56" s="41">
        <f t="shared" ref="C56:D56" si="4">SUM(C53:C55)</f>
        <v>119134.28000000006</v>
      </c>
      <c r="D56" s="41">
        <f t="shared" si="4"/>
        <v>901956.5</v>
      </c>
      <c r="E56" s="51">
        <f>(D56/D63)*100</f>
        <v>94.326939805759125</v>
      </c>
      <c r="F56" s="27">
        <f>SUM(F53:F55)</f>
        <v>666971.1100000001</v>
      </c>
      <c r="G56" s="6"/>
    </row>
    <row r="57" spans="1:7" x14ac:dyDescent="0.2">
      <c r="A57" s="46"/>
      <c r="B57" s="41"/>
      <c r="C57" s="41"/>
      <c r="D57" s="27"/>
      <c r="E57" s="43"/>
      <c r="F57" s="24"/>
      <c r="G57" s="6"/>
    </row>
    <row r="58" spans="1:7" x14ac:dyDescent="0.2">
      <c r="A58" s="44" t="s">
        <v>128</v>
      </c>
      <c r="B58" s="41"/>
      <c r="C58" s="41"/>
      <c r="D58" s="41"/>
      <c r="E58" s="43"/>
      <c r="F58" s="24"/>
      <c r="G58" s="6"/>
    </row>
    <row r="59" spans="1:7" x14ac:dyDescent="0.2">
      <c r="A59" s="45" t="s">
        <v>128</v>
      </c>
      <c r="B59" s="24">
        <v>708.56</v>
      </c>
      <c r="C59" s="24">
        <f>8301.56-B59</f>
        <v>7593</v>
      </c>
      <c r="D59" s="24">
        <f>SUM(B59:C59)</f>
        <v>8301.56</v>
      </c>
      <c r="E59" s="40"/>
      <c r="F59" s="24">
        <v>18472.86</v>
      </c>
      <c r="G59" s="6"/>
    </row>
    <row r="60" spans="1:7" x14ac:dyDescent="0.2">
      <c r="A60" s="45" t="s">
        <v>150</v>
      </c>
      <c r="B60" s="24">
        <v>25370.39</v>
      </c>
      <c r="C60" s="24">
        <f>27175.01-B60</f>
        <v>1804.619999999999</v>
      </c>
      <c r="D60" s="24">
        <f>SUM(B60:C60)</f>
        <v>27175.01</v>
      </c>
      <c r="E60" s="40"/>
      <c r="F60" s="24">
        <v>2897.03</v>
      </c>
      <c r="G60" s="6"/>
    </row>
    <row r="61" spans="1:7" x14ac:dyDescent="0.2">
      <c r="A61" s="44" t="s">
        <v>129</v>
      </c>
      <c r="B61" s="41">
        <f>SUM(B59:B60)</f>
        <v>26078.95</v>
      </c>
      <c r="C61" s="41">
        <f>SUM(C59)</f>
        <v>7593</v>
      </c>
      <c r="D61" s="27">
        <f>SUM(B61:C61)</f>
        <v>33671.949999999997</v>
      </c>
      <c r="E61" s="40">
        <f>(D61/D63)*100</f>
        <v>3.5214248146030664</v>
      </c>
      <c r="F61" s="27">
        <f>SUM(F59:F60)</f>
        <v>21369.89</v>
      </c>
      <c r="G61" s="6"/>
    </row>
    <row r="62" spans="1:7" x14ac:dyDescent="0.2">
      <c r="A62" s="46"/>
      <c r="B62" s="41"/>
      <c r="C62" s="41"/>
      <c r="D62" s="27"/>
      <c r="E62" s="43"/>
      <c r="F62" s="24"/>
      <c r="G62" s="6"/>
    </row>
    <row r="63" spans="1:7" x14ac:dyDescent="0.2">
      <c r="A63" s="44" t="s">
        <v>60</v>
      </c>
      <c r="B63" s="41">
        <f>B50+B56+B61</f>
        <v>826540.80999999994</v>
      </c>
      <c r="C63" s="41">
        <f t="shared" ref="C63:D63" si="5">C50+C56+C61</f>
        <v>129661.63000000006</v>
      </c>
      <c r="D63" s="41">
        <f t="shared" si="5"/>
        <v>956202.44</v>
      </c>
      <c r="E63" s="49"/>
      <c r="F63" s="41">
        <f>F50+F56+F61</f>
        <v>703009.59000000008</v>
      </c>
      <c r="G63" s="6"/>
    </row>
    <row r="64" spans="1:7" x14ac:dyDescent="0.2">
      <c r="A64" s="23"/>
      <c r="B64" s="24"/>
      <c r="C64" s="24"/>
      <c r="D64" s="24"/>
      <c r="E64" s="40"/>
      <c r="F64" s="24"/>
      <c r="G64" s="6"/>
    </row>
    <row r="65" spans="1:7" x14ac:dyDescent="0.2">
      <c r="A65" s="26" t="s">
        <v>32</v>
      </c>
      <c r="B65" s="27">
        <f>B63-B34</f>
        <v>724106.22</v>
      </c>
      <c r="C65" s="27">
        <f t="shared" ref="C65:E65" si="6">C63-C34</f>
        <v>35831.320000000065</v>
      </c>
      <c r="D65" s="27">
        <f t="shared" si="6"/>
        <v>759937.53999999992</v>
      </c>
      <c r="E65" s="27">
        <f t="shared" si="6"/>
        <v>-100</v>
      </c>
      <c r="F65" s="27">
        <f>F63-F34</f>
        <v>479109.39000000007</v>
      </c>
      <c r="G65" s="6"/>
    </row>
    <row r="66" spans="1:7" x14ac:dyDescent="0.2">
      <c r="A66" s="7"/>
      <c r="B66" s="10"/>
      <c r="C66" s="10"/>
      <c r="D66" s="10"/>
      <c r="E66" s="4"/>
      <c r="F66" s="11"/>
      <c r="G66" s="6"/>
    </row>
    <row r="67" spans="1:7" x14ac:dyDescent="0.2">
      <c r="A67" s="12"/>
      <c r="B67" s="13"/>
      <c r="C67" s="13"/>
      <c r="D67" s="13"/>
      <c r="E67" s="14"/>
      <c r="F67" s="12"/>
      <c r="G67" s="6"/>
    </row>
    <row r="68" spans="1:7" x14ac:dyDescent="0.2">
      <c r="A68" s="136" t="s">
        <v>193</v>
      </c>
      <c r="B68" s="136"/>
      <c r="C68" s="136"/>
      <c r="D68" s="136"/>
      <c r="E68" s="136"/>
      <c r="F68" s="136"/>
      <c r="G68" s="6"/>
    </row>
    <row r="69" spans="1:7" x14ac:dyDescent="0.2">
      <c r="A69" s="12"/>
      <c r="B69" s="35" t="s">
        <v>13</v>
      </c>
      <c r="C69" s="36" t="s">
        <v>14</v>
      </c>
      <c r="D69" s="37" t="s">
        <v>15</v>
      </c>
      <c r="E69" s="33" t="s">
        <v>16</v>
      </c>
      <c r="F69" s="34" t="s">
        <v>17</v>
      </c>
      <c r="G69" s="6"/>
    </row>
    <row r="70" spans="1:7" x14ac:dyDescent="0.2">
      <c r="A70" s="63" t="s">
        <v>194</v>
      </c>
      <c r="B70" s="52"/>
      <c r="C70" s="52"/>
      <c r="D70" s="52"/>
      <c r="E70" s="53"/>
      <c r="F70" s="50"/>
      <c r="G70" s="6"/>
    </row>
    <row r="71" spans="1:7" x14ac:dyDescent="0.2">
      <c r="A71" s="63" t="s">
        <v>195</v>
      </c>
      <c r="B71" s="52"/>
      <c r="C71" s="52"/>
      <c r="D71" s="52"/>
      <c r="E71" s="53"/>
      <c r="F71" s="50"/>
      <c r="G71" s="6"/>
    </row>
    <row r="72" spans="1:7" x14ac:dyDescent="0.2">
      <c r="A72" s="63"/>
      <c r="B72" s="52"/>
      <c r="C72" s="52"/>
      <c r="D72" s="52"/>
      <c r="E72" s="53"/>
      <c r="F72" s="50"/>
    </row>
    <row r="73" spans="1:7" x14ac:dyDescent="0.2">
      <c r="A73" s="63"/>
      <c r="B73" s="52"/>
      <c r="C73" s="52"/>
      <c r="D73" s="52"/>
      <c r="E73" s="53"/>
      <c r="F73" s="50"/>
    </row>
    <row r="74" spans="1:7" x14ac:dyDescent="0.2">
      <c r="A74" s="63"/>
      <c r="B74" s="52"/>
      <c r="C74" s="52"/>
      <c r="D74" s="52"/>
      <c r="E74" s="53"/>
      <c r="F74" s="50"/>
    </row>
    <row r="75" spans="1:7" x14ac:dyDescent="0.2">
      <c r="A75" s="63"/>
      <c r="B75" s="52"/>
      <c r="C75" s="52"/>
      <c r="D75" s="52"/>
      <c r="E75" s="53"/>
      <c r="F75" s="50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  <row r="296" spans="2:4" x14ac:dyDescent="0.2">
      <c r="B296" s="15"/>
      <c r="C296" s="15"/>
      <c r="D296" s="15"/>
    </row>
    <row r="297" spans="2:4" x14ac:dyDescent="0.2">
      <c r="B297" s="15"/>
      <c r="C297" s="15"/>
      <c r="D297" s="15"/>
    </row>
    <row r="298" spans="2:4" x14ac:dyDescent="0.2">
      <c r="B298" s="15"/>
      <c r="C298" s="15"/>
      <c r="D298" s="15"/>
    </row>
    <row r="299" spans="2:4" x14ac:dyDescent="0.2">
      <c r="B299" s="15"/>
      <c r="C299" s="15"/>
      <c r="D299" s="15"/>
    </row>
    <row r="300" spans="2:4" x14ac:dyDescent="0.2">
      <c r="B300" s="15"/>
      <c r="C300" s="15"/>
      <c r="D300" s="15"/>
    </row>
    <row r="301" spans="2:4" x14ac:dyDescent="0.2">
      <c r="B301" s="15"/>
      <c r="C301" s="15"/>
      <c r="D301" s="15"/>
    </row>
    <row r="302" spans="2:4" x14ac:dyDescent="0.2">
      <c r="B302" s="15"/>
      <c r="C302" s="15"/>
      <c r="D302" s="15"/>
    </row>
    <row r="303" spans="2:4" x14ac:dyDescent="0.2">
      <c r="B303" s="15"/>
      <c r="C303" s="15"/>
      <c r="D303" s="15"/>
    </row>
    <row r="304" spans="2:4" x14ac:dyDescent="0.2">
      <c r="B304" s="15"/>
      <c r="C304" s="15"/>
      <c r="D304" s="15"/>
    </row>
    <row r="305" spans="2:4" x14ac:dyDescent="0.2">
      <c r="B305" s="15"/>
      <c r="C305" s="15"/>
      <c r="D305" s="15"/>
    </row>
    <row r="306" spans="2:4" x14ac:dyDescent="0.2">
      <c r="B306" s="15"/>
      <c r="C306" s="15"/>
      <c r="D306" s="15"/>
    </row>
    <row r="307" spans="2:4" x14ac:dyDescent="0.2">
      <c r="B307" s="15"/>
      <c r="C307" s="15"/>
      <c r="D307" s="15"/>
    </row>
    <row r="308" spans="2:4" x14ac:dyDescent="0.2">
      <c r="B308" s="15"/>
      <c r="C308" s="15"/>
      <c r="D308" s="15"/>
    </row>
    <row r="309" spans="2:4" x14ac:dyDescent="0.2">
      <c r="B309" s="15"/>
      <c r="C309" s="15"/>
      <c r="D309" s="15"/>
    </row>
    <row r="310" spans="2:4" x14ac:dyDescent="0.2">
      <c r="B310" s="15"/>
      <c r="C310" s="15"/>
      <c r="D310" s="15"/>
    </row>
    <row r="311" spans="2:4" x14ac:dyDescent="0.2">
      <c r="B311" s="15"/>
      <c r="C311" s="15"/>
      <c r="D311" s="15"/>
    </row>
    <row r="312" spans="2:4" x14ac:dyDescent="0.2">
      <c r="B312" s="15"/>
      <c r="C312" s="15"/>
      <c r="D312" s="15"/>
    </row>
    <row r="313" spans="2:4" x14ac:dyDescent="0.2">
      <c r="B313" s="15"/>
      <c r="C313" s="15"/>
      <c r="D313" s="15"/>
    </row>
  </sheetData>
  <mergeCells count="3">
    <mergeCell ref="B6:D6"/>
    <mergeCell ref="B2:C2"/>
    <mergeCell ref="A68:F68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H274"/>
  <sheetViews>
    <sheetView topLeftCell="A16" workbookViewId="0">
      <selection activeCell="A41" sqref="A41:XFD51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50" t="s">
        <v>79</v>
      </c>
      <c r="C3" s="150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/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/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SUM(D12/D33)*100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20</v>
      </c>
      <c r="B14" s="24">
        <v>433.75</v>
      </c>
      <c r="C14" s="24"/>
      <c r="D14" s="24">
        <f>SUM(B14:C14)</f>
        <v>433.75</v>
      </c>
      <c r="E14" s="40"/>
      <c r="F14" s="24">
        <v>863.23</v>
      </c>
      <c r="G14" s="6"/>
    </row>
    <row r="15" spans="1:8" x14ac:dyDescent="0.2">
      <c r="A15" s="23" t="s">
        <v>0</v>
      </c>
      <c r="B15" s="24">
        <v>1481.14</v>
      </c>
      <c r="C15" s="24">
        <v>464.6</v>
      </c>
      <c r="D15" s="24">
        <f>SUM(B15:C15)</f>
        <v>1945.7400000000002</v>
      </c>
      <c r="E15" s="40"/>
      <c r="F15" s="24">
        <v>10997.11</v>
      </c>
      <c r="G15" s="6"/>
    </row>
    <row r="16" spans="1:8" x14ac:dyDescent="0.2">
      <c r="A16" s="23" t="s">
        <v>45</v>
      </c>
      <c r="B16" s="24">
        <v>3163.2</v>
      </c>
      <c r="C16" s="24"/>
      <c r="D16" s="24">
        <f>SUM(B16:C16)</f>
        <v>3163.2</v>
      </c>
      <c r="E16" s="40"/>
      <c r="F16" s="24">
        <v>6264.03</v>
      </c>
      <c r="G16" s="6"/>
    </row>
    <row r="17" spans="1:7" x14ac:dyDescent="0.2">
      <c r="A17" s="38" t="s">
        <v>22</v>
      </c>
      <c r="B17" s="41">
        <f>SUM(B14:B16)</f>
        <v>5078.09</v>
      </c>
      <c r="C17" s="41">
        <f>SUM(C14:C15)</f>
        <v>464.6</v>
      </c>
      <c r="D17" s="41">
        <f>SUM(B17:C17)</f>
        <v>5542.6900000000005</v>
      </c>
      <c r="E17" s="40">
        <f>SUM(D17/D33)*100</f>
        <v>99.086841253751942</v>
      </c>
      <c r="F17" s="27">
        <f>SUM(F14:F15)</f>
        <v>11860.34</v>
      </c>
      <c r="G17" s="6"/>
    </row>
    <row r="18" spans="1:7" x14ac:dyDescent="0.2">
      <c r="A18" s="38" t="s">
        <v>23</v>
      </c>
      <c r="B18" s="27"/>
      <c r="C18" s="24"/>
      <c r="D18" s="24"/>
      <c r="E18" s="40"/>
      <c r="F18" s="24"/>
      <c r="G18" s="6"/>
    </row>
    <row r="19" spans="1:7" x14ac:dyDescent="0.2">
      <c r="A19" s="23" t="s">
        <v>4</v>
      </c>
      <c r="B19" s="24">
        <v>51.08</v>
      </c>
      <c r="C19" s="24"/>
      <c r="D19" s="24">
        <f>SUM(B19:C19)</f>
        <v>51.08</v>
      </c>
      <c r="E19" s="40"/>
      <c r="F19" s="24">
        <v>2144.02</v>
      </c>
      <c r="G19" s="6"/>
    </row>
    <row r="20" spans="1:7" x14ac:dyDescent="0.2">
      <c r="A20" s="23" t="s">
        <v>118</v>
      </c>
      <c r="B20" s="24">
        <v>0</v>
      </c>
      <c r="C20" s="24"/>
      <c r="D20" s="24">
        <f>SUM(B20:C20)</f>
        <v>0</v>
      </c>
      <c r="E20" s="40"/>
      <c r="F20" s="24">
        <v>2081.02</v>
      </c>
      <c r="G20" s="6"/>
    </row>
    <row r="21" spans="1:7" x14ac:dyDescent="0.2">
      <c r="A21" s="23"/>
      <c r="B21" s="24">
        <v>0</v>
      </c>
      <c r="C21" s="24"/>
      <c r="D21" s="24">
        <f>SUM(B21:C21)</f>
        <v>0</v>
      </c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25</v>
      </c>
      <c r="B23" s="41">
        <f>SUM(B19:B22)</f>
        <v>51.08</v>
      </c>
      <c r="C23" s="41">
        <f>SUM(C19:C20)</f>
        <v>0</v>
      </c>
      <c r="D23" s="41">
        <f>SUM(D19:D22)</f>
        <v>51.08</v>
      </c>
      <c r="E23" s="40">
        <f>SUM(D23/D33)*100</f>
        <v>0.91315874624805804</v>
      </c>
      <c r="F23" s="27">
        <f>SUM(F19:F20)</f>
        <v>4225.04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27</v>
      </c>
      <c r="B27" s="41">
        <f>SUM(B25)</f>
        <v>0</v>
      </c>
      <c r="C27" s="41">
        <f>SUM(C25)</f>
        <v>0</v>
      </c>
      <c r="D27" s="41">
        <f>SUM(B27:C27)</f>
        <v>0</v>
      </c>
      <c r="E27" s="40">
        <f>SUM(D27/D33)*100</f>
        <v>0</v>
      </c>
      <c r="F27" s="27">
        <f>SUM(F25)</f>
        <v>0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/>
      <c r="B29" s="24">
        <v>0</v>
      </c>
      <c r="C29" s="24"/>
      <c r="D29" s="24">
        <f>SUM(B29:C29)</f>
        <v>0</v>
      </c>
      <c r="E29" s="40"/>
      <c r="F29" s="24">
        <v>0</v>
      </c>
      <c r="G29" s="6"/>
    </row>
    <row r="30" spans="1:7" x14ac:dyDescent="0.2">
      <c r="A30" s="23"/>
      <c r="B30" s="24">
        <v>0</v>
      </c>
      <c r="C30" s="24"/>
      <c r="D30" s="24">
        <f>SUM(B30:C30)</f>
        <v>0</v>
      </c>
      <c r="E30" s="40"/>
      <c r="F30" s="24"/>
      <c r="G30" s="6"/>
    </row>
    <row r="31" spans="1:7" x14ac:dyDescent="0.2">
      <c r="A31" s="38" t="s">
        <v>29</v>
      </c>
      <c r="B31" s="41">
        <f>SUM(B29:B30)</f>
        <v>0</v>
      </c>
      <c r="C31" s="41">
        <f t="shared" ref="C31:D31" si="1">SUM(C29:C30)</f>
        <v>0</v>
      </c>
      <c r="D31" s="41">
        <f t="shared" si="1"/>
        <v>0</v>
      </c>
      <c r="E31" s="40">
        <f>SUM(D31/D33)*100</f>
        <v>0</v>
      </c>
      <c r="F31" s="27">
        <f>SUM(F29:F30)</f>
        <v>0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8" x14ac:dyDescent="0.2">
      <c r="A33" s="38" t="s">
        <v>30</v>
      </c>
      <c r="B33" s="41">
        <f>SUM(B31,B27,B23,B17,B12)</f>
        <v>5129.17</v>
      </c>
      <c r="C33" s="41">
        <f>SUM(C31,C27,C23,C17,C12)</f>
        <v>464.6</v>
      </c>
      <c r="D33" s="41">
        <f>SUM(B33:C33)</f>
        <v>5593.77</v>
      </c>
      <c r="E33" s="40">
        <f>SUM(E12:E31)</f>
        <v>100</v>
      </c>
      <c r="F33" s="27">
        <f>F31+F27+F23+F17+F12</f>
        <v>16085.380000000001</v>
      </c>
      <c r="G33" s="6"/>
    </row>
    <row r="34" spans="1:8" x14ac:dyDescent="0.2">
      <c r="A34" s="23"/>
      <c r="B34" s="24"/>
      <c r="C34" s="24"/>
      <c r="D34" s="24"/>
      <c r="E34" s="40"/>
      <c r="F34" s="24"/>
      <c r="G34" s="6"/>
    </row>
    <row r="35" spans="1:8" x14ac:dyDescent="0.2">
      <c r="A35" s="42" t="s">
        <v>31</v>
      </c>
      <c r="B35" s="41"/>
      <c r="C35" s="41"/>
      <c r="D35" s="41"/>
      <c r="E35" s="43"/>
      <c r="F35" s="24"/>
      <c r="G35" s="6"/>
    </row>
    <row r="36" spans="1:8" x14ac:dyDescent="0.2">
      <c r="A36" s="23"/>
      <c r="B36" s="24"/>
      <c r="C36" s="24"/>
      <c r="D36" s="24"/>
      <c r="E36" s="40"/>
      <c r="F36" s="24"/>
      <c r="G36" s="6"/>
    </row>
    <row r="37" spans="1:8" x14ac:dyDescent="0.2">
      <c r="A37" s="26" t="s">
        <v>32</v>
      </c>
      <c r="B37" s="27">
        <f t="shared" ref="B37:F37" si="2">B35-B33</f>
        <v>-5129.17</v>
      </c>
      <c r="C37" s="27">
        <f t="shared" si="2"/>
        <v>-464.6</v>
      </c>
      <c r="D37" s="27">
        <f t="shared" si="2"/>
        <v>-5593.77</v>
      </c>
      <c r="E37" s="47">
        <f t="shared" si="2"/>
        <v>-100</v>
      </c>
      <c r="F37" s="27">
        <f t="shared" si="2"/>
        <v>-16085.380000000001</v>
      </c>
      <c r="G37" s="6"/>
    </row>
    <row r="38" spans="1:8" x14ac:dyDescent="0.2">
      <c r="A38" s="7"/>
      <c r="B38" s="10"/>
      <c r="C38" s="10"/>
      <c r="D38" s="10"/>
      <c r="E38" s="4"/>
      <c r="F38" s="11"/>
      <c r="G38" s="6"/>
    </row>
    <row r="39" spans="1:8" x14ac:dyDescent="0.2">
      <c r="A39" s="12"/>
      <c r="B39" s="13"/>
      <c r="C39" s="13"/>
      <c r="D39" s="13"/>
      <c r="E39" s="14"/>
      <c r="F39" s="12"/>
      <c r="G39" s="6"/>
    </row>
    <row r="40" spans="1:8" x14ac:dyDescent="0.2">
      <c r="A40" s="12"/>
      <c r="B40" s="13"/>
      <c r="C40" s="13"/>
      <c r="D40" s="13"/>
      <c r="E40" s="14"/>
      <c r="F40" s="12"/>
      <c r="G40" s="6"/>
    </row>
    <row r="41" spans="1:8" s="16" customFormat="1" x14ac:dyDescent="0.2">
      <c r="A41" s="1"/>
      <c r="B41" s="15"/>
      <c r="C41" s="15"/>
      <c r="D41" s="15"/>
      <c r="F41" s="1"/>
      <c r="G41" s="1"/>
      <c r="H41" s="1"/>
    </row>
    <row r="42" spans="1:8" s="16" customFormat="1" x14ac:dyDescent="0.2">
      <c r="A42" s="1"/>
      <c r="B42" s="15"/>
      <c r="C42" s="15"/>
      <c r="D42" s="15"/>
      <c r="F42" s="1"/>
      <c r="G42" s="1"/>
      <c r="H42" s="1"/>
    </row>
    <row r="43" spans="1:8" s="16" customFormat="1" x14ac:dyDescent="0.2">
      <c r="A43" s="1"/>
      <c r="B43" s="15"/>
      <c r="C43" s="15"/>
      <c r="D43" s="15"/>
      <c r="F43" s="1"/>
      <c r="G43" s="1"/>
      <c r="H43" s="1"/>
    </row>
    <row r="44" spans="1:8" s="16" customFormat="1" x14ac:dyDescent="0.2">
      <c r="A44" s="1"/>
      <c r="B44" s="15"/>
      <c r="C44" s="15"/>
      <c r="D44" s="15"/>
      <c r="F44" s="1"/>
      <c r="G44" s="1"/>
      <c r="H44" s="1"/>
    </row>
    <row r="45" spans="1:8" s="16" customFormat="1" x14ac:dyDescent="0.2">
      <c r="A45" s="1"/>
      <c r="B45" s="15"/>
      <c r="C45" s="15"/>
      <c r="D45" s="15"/>
      <c r="F45" s="1"/>
      <c r="G45" s="1"/>
      <c r="H45" s="1"/>
    </row>
    <row r="46" spans="1:8" s="16" customFormat="1" x14ac:dyDescent="0.2">
      <c r="A46" s="1"/>
      <c r="B46" s="15"/>
      <c r="C46" s="15"/>
      <c r="D46" s="15"/>
      <c r="F46" s="1"/>
      <c r="G46" s="1"/>
      <c r="H46" s="1"/>
    </row>
    <row r="47" spans="1:8" s="16" customFormat="1" x14ac:dyDescent="0.2">
      <c r="A47" s="1"/>
      <c r="B47" s="15"/>
      <c r="C47" s="15"/>
      <c r="D47" s="15"/>
      <c r="F47" s="1"/>
      <c r="G47" s="1"/>
      <c r="H47" s="1"/>
    </row>
    <row r="48" spans="1:8" s="16" customFormat="1" x14ac:dyDescent="0.2">
      <c r="A48" s="1"/>
      <c r="B48" s="15"/>
      <c r="C48" s="15"/>
      <c r="D48" s="15"/>
      <c r="F48" s="1"/>
      <c r="G48" s="1"/>
      <c r="H48" s="1"/>
    </row>
    <row r="49" spans="1:8" s="16" customFormat="1" x14ac:dyDescent="0.2">
      <c r="A49" s="1"/>
      <c r="B49" s="15"/>
      <c r="C49" s="15"/>
      <c r="D49" s="15"/>
      <c r="F49" s="1"/>
      <c r="G49" s="1"/>
      <c r="H49" s="1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</sheetData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3:K47"/>
  <sheetViews>
    <sheetView topLeftCell="A49" workbookViewId="0">
      <selection activeCell="F73" sqref="F73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1.7109375" style="21" bestFit="1" customWidth="1"/>
    <col min="4" max="4" width="10.7109375" style="21" customWidth="1"/>
    <col min="5" max="5" width="9.28515625" style="21" bestFit="1" customWidth="1"/>
    <col min="6" max="6" width="12.42578125" style="21" bestFit="1" customWidth="1"/>
    <col min="7" max="7" width="10.85546875" style="21" customWidth="1"/>
    <col min="8" max="10" width="12.42578125" style="21" bestFit="1" customWidth="1"/>
    <col min="11" max="16384" width="9.140625" style="21"/>
  </cols>
  <sheetData>
    <row r="3" spans="1:11" ht="23.25" x14ac:dyDescent="0.35">
      <c r="A3" s="140" t="s">
        <v>46</v>
      </c>
      <c r="B3" s="140"/>
      <c r="C3" s="140"/>
      <c r="D3" s="140"/>
      <c r="E3" s="140"/>
      <c r="F3" s="140"/>
      <c r="G3" s="140"/>
      <c r="H3" s="140"/>
      <c r="I3" s="140"/>
      <c r="J3" s="140"/>
    </row>
    <row r="5" spans="1:11" ht="18.75" x14ac:dyDescent="0.3">
      <c r="A5" s="28" t="s">
        <v>287</v>
      </c>
      <c r="B5" s="139" t="s">
        <v>47</v>
      </c>
      <c r="C5" s="139"/>
      <c r="D5" s="23"/>
      <c r="E5" s="151" t="s">
        <v>66</v>
      </c>
      <c r="F5" s="151"/>
      <c r="G5" s="151"/>
      <c r="H5" s="151"/>
      <c r="I5" s="151"/>
      <c r="J5" s="151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52" t="s">
        <v>59</v>
      </c>
      <c r="I7" s="152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55</v>
      </c>
      <c r="B9" s="24">
        <f>'006'!B12</f>
        <v>35652.239999999998</v>
      </c>
      <c r="C9" s="24">
        <f>'006'!B16</f>
        <v>0</v>
      </c>
      <c r="D9" s="24">
        <f>'006'!B20</f>
        <v>440.44</v>
      </c>
      <c r="E9" s="24">
        <v>0</v>
      </c>
      <c r="F9" s="24">
        <f>'006'!B23</f>
        <v>0</v>
      </c>
      <c r="G9" s="24">
        <f>'006'!B27</f>
        <v>2353.6799999999998</v>
      </c>
      <c r="H9" s="24">
        <f>SUM(B9:G9)</f>
        <v>38446.36</v>
      </c>
      <c r="I9" s="24"/>
      <c r="J9" s="24">
        <f>I9-H9</f>
        <v>-38446.36</v>
      </c>
    </row>
    <row r="10" spans="1:11" x14ac:dyDescent="0.2">
      <c r="A10" s="23" t="s">
        <v>65</v>
      </c>
      <c r="B10" s="24">
        <f>'007'!B12</f>
        <v>27114.68</v>
      </c>
      <c r="C10" s="24">
        <f>'007'!B16</f>
        <v>560</v>
      </c>
      <c r="D10" s="24">
        <f>'007'!B25</f>
        <v>105253.82</v>
      </c>
      <c r="E10" s="24">
        <v>0</v>
      </c>
      <c r="F10" s="24">
        <f>'007'!B30</f>
        <v>0</v>
      </c>
      <c r="G10" s="24">
        <f>'007'!B34</f>
        <v>4353.09</v>
      </c>
      <c r="H10" s="24">
        <f>SUM(B10:G10)</f>
        <v>137281.59</v>
      </c>
      <c r="I10" s="24">
        <f>'007'!B66</f>
        <v>2152215.3000000003</v>
      </c>
      <c r="J10" s="24">
        <f t="shared" ref="J10:J13" si="0">I10-H10</f>
        <v>2014933.7100000002</v>
      </c>
    </row>
    <row r="11" spans="1:11" x14ac:dyDescent="0.2">
      <c r="A11" s="23" t="s">
        <v>77</v>
      </c>
      <c r="B11" s="24">
        <f>'008'!B10</f>
        <v>0</v>
      </c>
      <c r="C11" s="24">
        <f>'008'!B13</f>
        <v>0</v>
      </c>
      <c r="D11" s="24">
        <f>'008'!B16</f>
        <v>0</v>
      </c>
      <c r="E11" s="24">
        <v>0</v>
      </c>
      <c r="F11" s="25">
        <f>'008'!B20</f>
        <v>3991986.49</v>
      </c>
      <c r="G11" s="24">
        <f>'008'!B24</f>
        <v>0</v>
      </c>
      <c r="H11" s="24">
        <f>SUM(B11:G11)</f>
        <v>3991986.49</v>
      </c>
      <c r="I11" s="24">
        <f>'008'!B39</f>
        <v>617724.97</v>
      </c>
      <c r="J11" s="24">
        <f t="shared" si="0"/>
        <v>-3374261.5200000005</v>
      </c>
    </row>
    <row r="12" spans="1:11" x14ac:dyDescent="0.2">
      <c r="A12" s="23" t="s">
        <v>78</v>
      </c>
      <c r="B12" s="24">
        <f>'009'!B11</f>
        <v>51294.239999999998</v>
      </c>
      <c r="C12" s="24">
        <f>'009'!B15</f>
        <v>20</v>
      </c>
      <c r="D12" s="24">
        <f>'009'!B24</f>
        <v>44175.25</v>
      </c>
      <c r="E12" s="24">
        <v>0</v>
      </c>
      <c r="F12" s="24">
        <f>'009'!B28</f>
        <v>0</v>
      </c>
      <c r="G12" s="24">
        <f>'009'!B32</f>
        <v>6945.1</v>
      </c>
      <c r="H12" s="24">
        <f>SUM(B12:G12)</f>
        <v>102434.59</v>
      </c>
      <c r="I12" s="24">
        <f>'009'!B63</f>
        <v>826540.80999999994</v>
      </c>
      <c r="J12" s="24">
        <f t="shared" si="0"/>
        <v>724106.22</v>
      </c>
    </row>
    <row r="13" spans="1:11" x14ac:dyDescent="0.2">
      <c r="A13" s="23" t="s">
        <v>79</v>
      </c>
      <c r="B13" s="24">
        <f>'010'!B12</f>
        <v>0</v>
      </c>
      <c r="C13" s="24">
        <f>'010'!B17</f>
        <v>5078.09</v>
      </c>
      <c r="D13" s="24">
        <f>'010'!B23</f>
        <v>51.08</v>
      </c>
      <c r="E13" s="24">
        <v>0</v>
      </c>
      <c r="F13" s="24">
        <f>'010'!B27</f>
        <v>0</v>
      </c>
      <c r="G13" s="24">
        <f>'010'!B31</f>
        <v>0</v>
      </c>
      <c r="H13" s="24">
        <f>SUM(B13:G13)</f>
        <v>5129.17</v>
      </c>
      <c r="I13" s="24">
        <v>0</v>
      </c>
      <c r="J13" s="24">
        <f t="shared" si="0"/>
        <v>-5129.17</v>
      </c>
    </row>
    <row r="14" spans="1:11" x14ac:dyDescent="0.2">
      <c r="A14" s="26" t="s">
        <v>53</v>
      </c>
      <c r="B14" s="27">
        <f>SUM(B9:B13)</f>
        <v>114061.16</v>
      </c>
      <c r="C14" s="27">
        <f t="shared" ref="C14" si="1">SUM(C9:C13)</f>
        <v>5658.09</v>
      </c>
      <c r="D14" s="27">
        <f t="shared" ref="D14:I14" si="2">SUM(D9:D13)</f>
        <v>149920.59</v>
      </c>
      <c r="E14" s="27">
        <f t="shared" si="2"/>
        <v>0</v>
      </c>
      <c r="F14" s="27">
        <f t="shared" si="2"/>
        <v>3991986.49</v>
      </c>
      <c r="G14" s="27">
        <f t="shared" si="2"/>
        <v>13651.87</v>
      </c>
      <c r="H14" s="27">
        <f t="shared" si="2"/>
        <v>4275278.2</v>
      </c>
      <c r="I14" s="27">
        <f t="shared" si="2"/>
        <v>3596481.0800000005</v>
      </c>
      <c r="J14" s="27">
        <f>I14-H14</f>
        <v>-678797.11999999965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  <row r="38" spans="1:10" ht="18.75" x14ac:dyDescent="0.3">
      <c r="A38" s="28" t="s">
        <v>288</v>
      </c>
      <c r="B38" s="139" t="s">
        <v>47</v>
      </c>
      <c r="C38" s="139"/>
      <c r="D38" s="23"/>
      <c r="E38" s="151" t="s">
        <v>66</v>
      </c>
      <c r="F38" s="151"/>
      <c r="G38" s="151"/>
      <c r="H38" s="151"/>
      <c r="I38" s="151"/>
      <c r="J38" s="151"/>
    </row>
    <row r="39" spans="1:10" x14ac:dyDescent="0.2">
      <c r="B39" s="6"/>
      <c r="C39" s="7"/>
      <c r="D39" s="6"/>
      <c r="E39" s="6"/>
      <c r="F39" s="6"/>
      <c r="G39" s="6"/>
      <c r="H39" s="29" t="s">
        <v>63</v>
      </c>
      <c r="I39" s="29" t="s">
        <v>62</v>
      </c>
      <c r="J39" s="6"/>
    </row>
    <row r="40" spans="1:10" ht="15" customHeight="1" x14ac:dyDescent="0.2">
      <c r="A40" s="23"/>
      <c r="B40" s="153" t="s">
        <v>49</v>
      </c>
      <c r="C40" s="138" t="s">
        <v>56</v>
      </c>
      <c r="D40" s="138" t="s">
        <v>57</v>
      </c>
      <c r="E40" s="138" t="s">
        <v>58</v>
      </c>
      <c r="F40" s="138" t="s">
        <v>64</v>
      </c>
      <c r="G40" s="138" t="s">
        <v>2</v>
      </c>
      <c r="H40" s="152" t="s">
        <v>59</v>
      </c>
      <c r="I40" s="152" t="s">
        <v>60</v>
      </c>
      <c r="J40" s="138" t="s">
        <v>61</v>
      </c>
    </row>
    <row r="41" spans="1:10" x14ac:dyDescent="0.2">
      <c r="A41" s="23"/>
      <c r="B41" s="154"/>
      <c r="C41" s="138"/>
      <c r="D41" s="138"/>
      <c r="E41" s="138"/>
      <c r="F41" s="138"/>
      <c r="G41" s="138"/>
      <c r="H41" s="137"/>
      <c r="I41" s="137"/>
      <c r="J41" s="138"/>
    </row>
    <row r="42" spans="1:10" x14ac:dyDescent="0.2">
      <c r="A42" s="23" t="s">
        <v>55</v>
      </c>
      <c r="B42" s="24">
        <f>'006'!C12</f>
        <v>40088.85</v>
      </c>
      <c r="C42" s="24">
        <f>'006'!C16</f>
        <v>0</v>
      </c>
      <c r="D42" s="24">
        <f>'006'!C20</f>
        <v>0</v>
      </c>
      <c r="E42" s="24">
        <v>0</v>
      </c>
      <c r="F42" s="24">
        <f>'006'!C23</f>
        <v>0</v>
      </c>
      <c r="G42" s="24">
        <f>'006'!C27</f>
        <v>2566.1</v>
      </c>
      <c r="H42" s="24">
        <f>SUM(B42:G42)</f>
        <v>42654.95</v>
      </c>
      <c r="I42" s="24">
        <f>'006'!E3</f>
        <v>0</v>
      </c>
      <c r="J42" s="24">
        <f>I42-H42</f>
        <v>-42654.95</v>
      </c>
    </row>
    <row r="43" spans="1:10" x14ac:dyDescent="0.2">
      <c r="A43" s="23" t="s">
        <v>65</v>
      </c>
      <c r="B43" s="24">
        <f>'007'!C12</f>
        <v>31424.15</v>
      </c>
      <c r="C43" s="24">
        <f>'007'!C16</f>
        <v>0</v>
      </c>
      <c r="D43" s="24">
        <f>'007'!C25</f>
        <v>12803.98</v>
      </c>
      <c r="E43" s="24">
        <v>0</v>
      </c>
      <c r="F43" s="24">
        <f>'007'!C30</f>
        <v>0</v>
      </c>
      <c r="G43" s="24">
        <f>'007'!C34</f>
        <v>1324.11</v>
      </c>
      <c r="H43" s="24">
        <f>SUM(B43:G43)</f>
        <v>45552.240000000005</v>
      </c>
      <c r="I43" s="24">
        <f>'007'!C66</f>
        <v>5050808.22</v>
      </c>
      <c r="J43" s="24">
        <f t="shared" ref="J43:J46" si="3">I43-H43</f>
        <v>5005255.9799999995</v>
      </c>
    </row>
    <row r="44" spans="1:10" x14ac:dyDescent="0.2">
      <c r="A44" s="23" t="s">
        <v>77</v>
      </c>
      <c r="B44" s="24">
        <f>'008'!C10</f>
        <v>0</v>
      </c>
      <c r="C44" s="24">
        <f>'008'!C13</f>
        <v>0</v>
      </c>
      <c r="D44" s="24">
        <f>'008'!C16</f>
        <v>0</v>
      </c>
      <c r="E44" s="24">
        <v>0</v>
      </c>
      <c r="F44" s="25">
        <f>'008'!C20</f>
        <v>0</v>
      </c>
      <c r="G44" s="24">
        <f>'008'!C24</f>
        <v>0</v>
      </c>
      <c r="H44" s="24">
        <f>SUM(B44:G44)</f>
        <v>0</v>
      </c>
      <c r="I44" s="24">
        <f>'008'!C39</f>
        <v>78381.709999999992</v>
      </c>
      <c r="J44" s="24">
        <f t="shared" si="3"/>
        <v>78381.709999999992</v>
      </c>
    </row>
    <row r="45" spans="1:10" x14ac:dyDescent="0.2">
      <c r="A45" s="23" t="s">
        <v>78</v>
      </c>
      <c r="B45" s="24">
        <f>'009'!C11</f>
        <v>87370.73</v>
      </c>
      <c r="C45" s="24">
        <f>'009'!C15</f>
        <v>0</v>
      </c>
      <c r="D45" s="24">
        <f>'009'!C24</f>
        <v>596.22</v>
      </c>
      <c r="E45" s="24">
        <v>0</v>
      </c>
      <c r="F45" s="24">
        <f>'009'!C28</f>
        <v>0</v>
      </c>
      <c r="G45" s="24">
        <f>'009'!C32</f>
        <v>5863.36</v>
      </c>
      <c r="H45" s="24">
        <f>SUM(B45:G45)</f>
        <v>93830.31</v>
      </c>
      <c r="I45" s="24">
        <f>'009'!B96</f>
        <v>0</v>
      </c>
      <c r="J45" s="24">
        <f t="shared" si="3"/>
        <v>-93830.31</v>
      </c>
    </row>
    <row r="46" spans="1:10" x14ac:dyDescent="0.2">
      <c r="A46" s="23" t="s">
        <v>79</v>
      </c>
      <c r="B46" s="24">
        <f>'010'!C12</f>
        <v>0</v>
      </c>
      <c r="C46" s="24">
        <f>'010'!C17</f>
        <v>464.6</v>
      </c>
      <c r="D46" s="24">
        <f>'010'!C23</f>
        <v>0</v>
      </c>
      <c r="E46" s="24">
        <v>0</v>
      </c>
      <c r="F46" s="24">
        <f>'010'!C27</f>
        <v>0</v>
      </c>
      <c r="G46" s="24">
        <f>'010'!C31</f>
        <v>0</v>
      </c>
      <c r="H46" s="24">
        <f>SUM(B46:G46)</f>
        <v>464.6</v>
      </c>
      <c r="I46" s="24">
        <v>0</v>
      </c>
      <c r="J46" s="24">
        <f t="shared" si="3"/>
        <v>-464.6</v>
      </c>
    </row>
    <row r="47" spans="1:10" x14ac:dyDescent="0.2">
      <c r="A47" s="26" t="s">
        <v>53</v>
      </c>
      <c r="B47" s="27">
        <f>SUM(B42:B46)</f>
        <v>158883.72999999998</v>
      </c>
      <c r="C47" s="27">
        <f t="shared" ref="C47:I47" si="4">SUM(C42:C46)</f>
        <v>464.6</v>
      </c>
      <c r="D47" s="27">
        <f t="shared" si="4"/>
        <v>13400.199999999999</v>
      </c>
      <c r="E47" s="27">
        <f t="shared" si="4"/>
        <v>0</v>
      </c>
      <c r="F47" s="27">
        <f t="shared" si="4"/>
        <v>0</v>
      </c>
      <c r="G47" s="27">
        <f t="shared" si="4"/>
        <v>9753.57</v>
      </c>
      <c r="H47" s="27">
        <f t="shared" si="4"/>
        <v>182502.1</v>
      </c>
      <c r="I47" s="27">
        <f t="shared" si="4"/>
        <v>5129189.93</v>
      </c>
      <c r="J47" s="27">
        <f>I47-H47</f>
        <v>4946687.83</v>
      </c>
    </row>
  </sheetData>
  <mergeCells count="22">
    <mergeCell ref="A3:J3"/>
    <mergeCell ref="I7:I8"/>
    <mergeCell ref="J7:J8"/>
    <mergeCell ref="B5:C5"/>
    <mergeCell ref="C7:C8"/>
    <mergeCell ref="D7:D8"/>
    <mergeCell ref="E7:E8"/>
    <mergeCell ref="F7:F8"/>
    <mergeCell ref="G7:G8"/>
    <mergeCell ref="H7:H8"/>
    <mergeCell ref="E5:J5"/>
    <mergeCell ref="B38:C38"/>
    <mergeCell ref="E38:J38"/>
    <mergeCell ref="C40:C41"/>
    <mergeCell ref="D40:D41"/>
    <mergeCell ref="E40:E41"/>
    <mergeCell ref="F40:F41"/>
    <mergeCell ref="G40:G41"/>
    <mergeCell ref="H40:H41"/>
    <mergeCell ref="I40:I41"/>
    <mergeCell ref="J40:J41"/>
    <mergeCell ref="B40:B41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zoomScale="85" workbookViewId="0">
      <selection activeCell="E4" sqref="E4:H6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27.7109375" style="64" customWidth="1"/>
    <col min="9" max="9" width="0" style="64" hidden="1" customWidth="1"/>
    <col min="10" max="11" width="2.85546875" style="64" customWidth="1"/>
    <col min="12" max="246" width="9.140625" style="64"/>
    <col min="247" max="247" width="2" style="64" customWidth="1"/>
    <col min="248" max="249" width="9.140625" style="64"/>
    <col min="250" max="250" width="7.28515625" style="64" customWidth="1"/>
    <col min="251" max="251" width="2.85546875" style="64" customWidth="1"/>
    <col min="252" max="252" width="9.140625" style="64"/>
    <col min="253" max="253" width="10.5703125" style="64" customWidth="1"/>
    <col min="254" max="254" width="7.85546875" style="64" customWidth="1"/>
    <col min="255" max="255" width="2.85546875" style="64" customWidth="1"/>
    <col min="256" max="256" width="21" style="64" customWidth="1"/>
    <col min="257" max="257" width="23.5703125" style="64" customWidth="1"/>
    <col min="258" max="258" width="12.140625" style="64" customWidth="1"/>
    <col min="259" max="259" width="3.28515625" style="64" customWidth="1"/>
    <col min="260" max="260" width="26.85546875" style="64" customWidth="1"/>
    <col min="261" max="261" width="0" style="64" hidden="1" customWidth="1"/>
    <col min="262" max="262" width="2.140625" style="64" customWidth="1"/>
    <col min="263" max="502" width="9.140625" style="64"/>
    <col min="503" max="503" width="2" style="64" customWidth="1"/>
    <col min="504" max="505" width="9.140625" style="64"/>
    <col min="506" max="506" width="7.28515625" style="64" customWidth="1"/>
    <col min="507" max="507" width="2.85546875" style="64" customWidth="1"/>
    <col min="508" max="508" width="9.140625" style="64"/>
    <col min="509" max="509" width="10.5703125" style="64" customWidth="1"/>
    <col min="510" max="510" width="7.85546875" style="64" customWidth="1"/>
    <col min="511" max="511" width="2.85546875" style="64" customWidth="1"/>
    <col min="512" max="512" width="21" style="64" customWidth="1"/>
    <col min="513" max="513" width="23.5703125" style="64" customWidth="1"/>
    <col min="514" max="514" width="12.140625" style="64" customWidth="1"/>
    <col min="515" max="515" width="3.28515625" style="64" customWidth="1"/>
    <col min="516" max="516" width="26.85546875" style="64" customWidth="1"/>
    <col min="517" max="517" width="0" style="64" hidden="1" customWidth="1"/>
    <col min="518" max="518" width="2.140625" style="64" customWidth="1"/>
    <col min="519" max="758" width="9.140625" style="64"/>
    <col min="759" max="759" width="2" style="64" customWidth="1"/>
    <col min="760" max="761" width="9.140625" style="64"/>
    <col min="762" max="762" width="7.28515625" style="64" customWidth="1"/>
    <col min="763" max="763" width="2.85546875" style="64" customWidth="1"/>
    <col min="764" max="764" width="9.140625" style="64"/>
    <col min="765" max="765" width="10.5703125" style="64" customWidth="1"/>
    <col min="766" max="766" width="7.85546875" style="64" customWidth="1"/>
    <col min="767" max="767" width="2.85546875" style="64" customWidth="1"/>
    <col min="768" max="768" width="21" style="64" customWidth="1"/>
    <col min="769" max="769" width="23.5703125" style="64" customWidth="1"/>
    <col min="770" max="770" width="12.140625" style="64" customWidth="1"/>
    <col min="771" max="771" width="3.28515625" style="64" customWidth="1"/>
    <col min="772" max="772" width="26.85546875" style="64" customWidth="1"/>
    <col min="773" max="773" width="0" style="64" hidden="1" customWidth="1"/>
    <col min="774" max="774" width="2.140625" style="64" customWidth="1"/>
    <col min="775" max="1014" width="9.140625" style="64"/>
    <col min="1015" max="1015" width="2" style="64" customWidth="1"/>
    <col min="1016" max="1017" width="9.140625" style="64"/>
    <col min="1018" max="1018" width="7.28515625" style="64" customWidth="1"/>
    <col min="1019" max="1019" width="2.85546875" style="64" customWidth="1"/>
    <col min="1020" max="1020" width="9.140625" style="64"/>
    <col min="1021" max="1021" width="10.5703125" style="64" customWidth="1"/>
    <col min="1022" max="1022" width="7.85546875" style="64" customWidth="1"/>
    <col min="1023" max="1023" width="2.85546875" style="64" customWidth="1"/>
    <col min="1024" max="1024" width="21" style="64" customWidth="1"/>
    <col min="1025" max="1025" width="23.5703125" style="64" customWidth="1"/>
    <col min="1026" max="1026" width="12.140625" style="64" customWidth="1"/>
    <col min="1027" max="1027" width="3.28515625" style="64" customWidth="1"/>
    <col min="1028" max="1028" width="26.85546875" style="64" customWidth="1"/>
    <col min="1029" max="1029" width="0" style="64" hidden="1" customWidth="1"/>
    <col min="1030" max="1030" width="2.140625" style="64" customWidth="1"/>
    <col min="1031" max="1270" width="9.140625" style="64"/>
    <col min="1271" max="1271" width="2" style="64" customWidth="1"/>
    <col min="1272" max="1273" width="9.140625" style="64"/>
    <col min="1274" max="1274" width="7.28515625" style="64" customWidth="1"/>
    <col min="1275" max="1275" width="2.85546875" style="64" customWidth="1"/>
    <col min="1276" max="1276" width="9.140625" style="64"/>
    <col min="1277" max="1277" width="10.5703125" style="64" customWidth="1"/>
    <col min="1278" max="1278" width="7.85546875" style="64" customWidth="1"/>
    <col min="1279" max="1279" width="2.85546875" style="64" customWidth="1"/>
    <col min="1280" max="1280" width="21" style="64" customWidth="1"/>
    <col min="1281" max="1281" width="23.5703125" style="64" customWidth="1"/>
    <col min="1282" max="1282" width="12.140625" style="64" customWidth="1"/>
    <col min="1283" max="1283" width="3.28515625" style="64" customWidth="1"/>
    <col min="1284" max="1284" width="26.85546875" style="64" customWidth="1"/>
    <col min="1285" max="1285" width="0" style="64" hidden="1" customWidth="1"/>
    <col min="1286" max="1286" width="2.140625" style="64" customWidth="1"/>
    <col min="1287" max="1526" width="9.140625" style="64"/>
    <col min="1527" max="1527" width="2" style="64" customWidth="1"/>
    <col min="1528" max="1529" width="9.140625" style="64"/>
    <col min="1530" max="1530" width="7.28515625" style="64" customWidth="1"/>
    <col min="1531" max="1531" width="2.85546875" style="64" customWidth="1"/>
    <col min="1532" max="1532" width="9.140625" style="64"/>
    <col min="1533" max="1533" width="10.5703125" style="64" customWidth="1"/>
    <col min="1534" max="1534" width="7.85546875" style="64" customWidth="1"/>
    <col min="1535" max="1535" width="2.85546875" style="64" customWidth="1"/>
    <col min="1536" max="1536" width="21" style="64" customWidth="1"/>
    <col min="1537" max="1537" width="23.5703125" style="64" customWidth="1"/>
    <col min="1538" max="1538" width="12.140625" style="64" customWidth="1"/>
    <col min="1539" max="1539" width="3.28515625" style="64" customWidth="1"/>
    <col min="1540" max="1540" width="26.85546875" style="64" customWidth="1"/>
    <col min="1541" max="1541" width="0" style="64" hidden="1" customWidth="1"/>
    <col min="1542" max="1542" width="2.140625" style="64" customWidth="1"/>
    <col min="1543" max="1782" width="9.140625" style="64"/>
    <col min="1783" max="1783" width="2" style="64" customWidth="1"/>
    <col min="1784" max="1785" width="9.140625" style="64"/>
    <col min="1786" max="1786" width="7.28515625" style="64" customWidth="1"/>
    <col min="1787" max="1787" width="2.85546875" style="64" customWidth="1"/>
    <col min="1788" max="1788" width="9.140625" style="64"/>
    <col min="1789" max="1789" width="10.5703125" style="64" customWidth="1"/>
    <col min="1790" max="1790" width="7.85546875" style="64" customWidth="1"/>
    <col min="1791" max="1791" width="2.85546875" style="64" customWidth="1"/>
    <col min="1792" max="1792" width="21" style="64" customWidth="1"/>
    <col min="1793" max="1793" width="23.5703125" style="64" customWidth="1"/>
    <col min="1794" max="1794" width="12.140625" style="64" customWidth="1"/>
    <col min="1795" max="1795" width="3.28515625" style="64" customWidth="1"/>
    <col min="1796" max="1796" width="26.85546875" style="64" customWidth="1"/>
    <col min="1797" max="1797" width="0" style="64" hidden="1" customWidth="1"/>
    <col min="1798" max="1798" width="2.140625" style="64" customWidth="1"/>
    <col min="1799" max="2038" width="9.140625" style="64"/>
    <col min="2039" max="2039" width="2" style="64" customWidth="1"/>
    <col min="2040" max="2041" width="9.140625" style="64"/>
    <col min="2042" max="2042" width="7.28515625" style="64" customWidth="1"/>
    <col min="2043" max="2043" width="2.85546875" style="64" customWidth="1"/>
    <col min="2044" max="2044" width="9.140625" style="64"/>
    <col min="2045" max="2045" width="10.5703125" style="64" customWidth="1"/>
    <col min="2046" max="2046" width="7.85546875" style="64" customWidth="1"/>
    <col min="2047" max="2047" width="2.85546875" style="64" customWidth="1"/>
    <col min="2048" max="2048" width="21" style="64" customWidth="1"/>
    <col min="2049" max="2049" width="23.5703125" style="64" customWidth="1"/>
    <col min="2050" max="2050" width="12.140625" style="64" customWidth="1"/>
    <col min="2051" max="2051" width="3.28515625" style="64" customWidth="1"/>
    <col min="2052" max="2052" width="26.85546875" style="64" customWidth="1"/>
    <col min="2053" max="2053" width="0" style="64" hidden="1" customWidth="1"/>
    <col min="2054" max="2054" width="2.140625" style="64" customWidth="1"/>
    <col min="2055" max="2294" width="9.140625" style="64"/>
    <col min="2295" max="2295" width="2" style="64" customWidth="1"/>
    <col min="2296" max="2297" width="9.140625" style="64"/>
    <col min="2298" max="2298" width="7.28515625" style="64" customWidth="1"/>
    <col min="2299" max="2299" width="2.85546875" style="64" customWidth="1"/>
    <col min="2300" max="2300" width="9.140625" style="64"/>
    <col min="2301" max="2301" width="10.5703125" style="64" customWidth="1"/>
    <col min="2302" max="2302" width="7.85546875" style="64" customWidth="1"/>
    <col min="2303" max="2303" width="2.85546875" style="64" customWidth="1"/>
    <col min="2304" max="2304" width="21" style="64" customWidth="1"/>
    <col min="2305" max="2305" width="23.5703125" style="64" customWidth="1"/>
    <col min="2306" max="2306" width="12.140625" style="64" customWidth="1"/>
    <col min="2307" max="2307" width="3.28515625" style="64" customWidth="1"/>
    <col min="2308" max="2308" width="26.85546875" style="64" customWidth="1"/>
    <col min="2309" max="2309" width="0" style="64" hidden="1" customWidth="1"/>
    <col min="2310" max="2310" width="2.140625" style="64" customWidth="1"/>
    <col min="2311" max="2550" width="9.140625" style="64"/>
    <col min="2551" max="2551" width="2" style="64" customWidth="1"/>
    <col min="2552" max="2553" width="9.140625" style="64"/>
    <col min="2554" max="2554" width="7.28515625" style="64" customWidth="1"/>
    <col min="2555" max="2555" width="2.85546875" style="64" customWidth="1"/>
    <col min="2556" max="2556" width="9.140625" style="64"/>
    <col min="2557" max="2557" width="10.5703125" style="64" customWidth="1"/>
    <col min="2558" max="2558" width="7.85546875" style="64" customWidth="1"/>
    <col min="2559" max="2559" width="2.85546875" style="64" customWidth="1"/>
    <col min="2560" max="2560" width="21" style="64" customWidth="1"/>
    <col min="2561" max="2561" width="23.5703125" style="64" customWidth="1"/>
    <col min="2562" max="2562" width="12.140625" style="64" customWidth="1"/>
    <col min="2563" max="2563" width="3.28515625" style="64" customWidth="1"/>
    <col min="2564" max="2564" width="26.85546875" style="64" customWidth="1"/>
    <col min="2565" max="2565" width="0" style="64" hidden="1" customWidth="1"/>
    <col min="2566" max="2566" width="2.140625" style="64" customWidth="1"/>
    <col min="2567" max="2806" width="9.140625" style="64"/>
    <col min="2807" max="2807" width="2" style="64" customWidth="1"/>
    <col min="2808" max="2809" width="9.140625" style="64"/>
    <col min="2810" max="2810" width="7.28515625" style="64" customWidth="1"/>
    <col min="2811" max="2811" width="2.85546875" style="64" customWidth="1"/>
    <col min="2812" max="2812" width="9.140625" style="64"/>
    <col min="2813" max="2813" width="10.5703125" style="64" customWidth="1"/>
    <col min="2814" max="2814" width="7.85546875" style="64" customWidth="1"/>
    <col min="2815" max="2815" width="2.85546875" style="64" customWidth="1"/>
    <col min="2816" max="2816" width="21" style="64" customWidth="1"/>
    <col min="2817" max="2817" width="23.5703125" style="64" customWidth="1"/>
    <col min="2818" max="2818" width="12.140625" style="64" customWidth="1"/>
    <col min="2819" max="2819" width="3.28515625" style="64" customWidth="1"/>
    <col min="2820" max="2820" width="26.85546875" style="64" customWidth="1"/>
    <col min="2821" max="2821" width="0" style="64" hidden="1" customWidth="1"/>
    <col min="2822" max="2822" width="2.140625" style="64" customWidth="1"/>
    <col min="2823" max="3062" width="9.140625" style="64"/>
    <col min="3063" max="3063" width="2" style="64" customWidth="1"/>
    <col min="3064" max="3065" width="9.140625" style="64"/>
    <col min="3066" max="3066" width="7.28515625" style="64" customWidth="1"/>
    <col min="3067" max="3067" width="2.85546875" style="64" customWidth="1"/>
    <col min="3068" max="3068" width="9.140625" style="64"/>
    <col min="3069" max="3069" width="10.5703125" style="64" customWidth="1"/>
    <col min="3070" max="3070" width="7.85546875" style="64" customWidth="1"/>
    <col min="3071" max="3071" width="2.85546875" style="64" customWidth="1"/>
    <col min="3072" max="3072" width="21" style="64" customWidth="1"/>
    <col min="3073" max="3073" width="23.5703125" style="64" customWidth="1"/>
    <col min="3074" max="3074" width="12.140625" style="64" customWidth="1"/>
    <col min="3075" max="3075" width="3.28515625" style="64" customWidth="1"/>
    <col min="3076" max="3076" width="26.85546875" style="64" customWidth="1"/>
    <col min="3077" max="3077" width="0" style="64" hidden="1" customWidth="1"/>
    <col min="3078" max="3078" width="2.140625" style="64" customWidth="1"/>
    <col min="3079" max="3318" width="9.140625" style="64"/>
    <col min="3319" max="3319" width="2" style="64" customWidth="1"/>
    <col min="3320" max="3321" width="9.140625" style="64"/>
    <col min="3322" max="3322" width="7.28515625" style="64" customWidth="1"/>
    <col min="3323" max="3323" width="2.85546875" style="64" customWidth="1"/>
    <col min="3324" max="3324" width="9.140625" style="64"/>
    <col min="3325" max="3325" width="10.5703125" style="64" customWidth="1"/>
    <col min="3326" max="3326" width="7.85546875" style="64" customWidth="1"/>
    <col min="3327" max="3327" width="2.85546875" style="64" customWidth="1"/>
    <col min="3328" max="3328" width="21" style="64" customWidth="1"/>
    <col min="3329" max="3329" width="23.5703125" style="64" customWidth="1"/>
    <col min="3330" max="3330" width="12.140625" style="64" customWidth="1"/>
    <col min="3331" max="3331" width="3.28515625" style="64" customWidth="1"/>
    <col min="3332" max="3332" width="26.85546875" style="64" customWidth="1"/>
    <col min="3333" max="3333" width="0" style="64" hidden="1" customWidth="1"/>
    <col min="3334" max="3334" width="2.140625" style="64" customWidth="1"/>
    <col min="3335" max="3574" width="9.140625" style="64"/>
    <col min="3575" max="3575" width="2" style="64" customWidth="1"/>
    <col min="3576" max="3577" width="9.140625" style="64"/>
    <col min="3578" max="3578" width="7.28515625" style="64" customWidth="1"/>
    <col min="3579" max="3579" width="2.85546875" style="64" customWidth="1"/>
    <col min="3580" max="3580" width="9.140625" style="64"/>
    <col min="3581" max="3581" width="10.5703125" style="64" customWidth="1"/>
    <col min="3582" max="3582" width="7.85546875" style="64" customWidth="1"/>
    <col min="3583" max="3583" width="2.85546875" style="64" customWidth="1"/>
    <col min="3584" max="3584" width="21" style="64" customWidth="1"/>
    <col min="3585" max="3585" width="23.5703125" style="64" customWidth="1"/>
    <col min="3586" max="3586" width="12.140625" style="64" customWidth="1"/>
    <col min="3587" max="3587" width="3.28515625" style="64" customWidth="1"/>
    <col min="3588" max="3588" width="26.85546875" style="64" customWidth="1"/>
    <col min="3589" max="3589" width="0" style="64" hidden="1" customWidth="1"/>
    <col min="3590" max="3590" width="2.140625" style="64" customWidth="1"/>
    <col min="3591" max="3830" width="9.140625" style="64"/>
    <col min="3831" max="3831" width="2" style="64" customWidth="1"/>
    <col min="3832" max="3833" width="9.140625" style="64"/>
    <col min="3834" max="3834" width="7.28515625" style="64" customWidth="1"/>
    <col min="3835" max="3835" width="2.85546875" style="64" customWidth="1"/>
    <col min="3836" max="3836" width="9.140625" style="64"/>
    <col min="3837" max="3837" width="10.5703125" style="64" customWidth="1"/>
    <col min="3838" max="3838" width="7.85546875" style="64" customWidth="1"/>
    <col min="3839" max="3839" width="2.85546875" style="64" customWidth="1"/>
    <col min="3840" max="3840" width="21" style="64" customWidth="1"/>
    <col min="3841" max="3841" width="23.5703125" style="64" customWidth="1"/>
    <col min="3842" max="3842" width="12.140625" style="64" customWidth="1"/>
    <col min="3843" max="3843" width="3.28515625" style="64" customWidth="1"/>
    <col min="3844" max="3844" width="26.85546875" style="64" customWidth="1"/>
    <col min="3845" max="3845" width="0" style="64" hidden="1" customWidth="1"/>
    <col min="3846" max="3846" width="2.140625" style="64" customWidth="1"/>
    <col min="3847" max="4086" width="9.140625" style="64"/>
    <col min="4087" max="4087" width="2" style="64" customWidth="1"/>
    <col min="4088" max="4089" width="9.140625" style="64"/>
    <col min="4090" max="4090" width="7.28515625" style="64" customWidth="1"/>
    <col min="4091" max="4091" width="2.85546875" style="64" customWidth="1"/>
    <col min="4092" max="4092" width="9.140625" style="64"/>
    <col min="4093" max="4093" width="10.5703125" style="64" customWidth="1"/>
    <col min="4094" max="4094" width="7.85546875" style="64" customWidth="1"/>
    <col min="4095" max="4095" width="2.85546875" style="64" customWidth="1"/>
    <col min="4096" max="4096" width="21" style="64" customWidth="1"/>
    <col min="4097" max="4097" width="23.5703125" style="64" customWidth="1"/>
    <col min="4098" max="4098" width="12.140625" style="64" customWidth="1"/>
    <col min="4099" max="4099" width="3.28515625" style="64" customWidth="1"/>
    <col min="4100" max="4100" width="26.85546875" style="64" customWidth="1"/>
    <col min="4101" max="4101" width="0" style="64" hidden="1" customWidth="1"/>
    <col min="4102" max="4102" width="2.140625" style="64" customWidth="1"/>
    <col min="4103" max="4342" width="9.140625" style="64"/>
    <col min="4343" max="4343" width="2" style="64" customWidth="1"/>
    <col min="4344" max="4345" width="9.140625" style="64"/>
    <col min="4346" max="4346" width="7.28515625" style="64" customWidth="1"/>
    <col min="4347" max="4347" width="2.85546875" style="64" customWidth="1"/>
    <col min="4348" max="4348" width="9.140625" style="64"/>
    <col min="4349" max="4349" width="10.5703125" style="64" customWidth="1"/>
    <col min="4350" max="4350" width="7.85546875" style="64" customWidth="1"/>
    <col min="4351" max="4351" width="2.85546875" style="64" customWidth="1"/>
    <col min="4352" max="4352" width="21" style="64" customWidth="1"/>
    <col min="4353" max="4353" width="23.5703125" style="64" customWidth="1"/>
    <col min="4354" max="4354" width="12.140625" style="64" customWidth="1"/>
    <col min="4355" max="4355" width="3.28515625" style="64" customWidth="1"/>
    <col min="4356" max="4356" width="26.85546875" style="64" customWidth="1"/>
    <col min="4357" max="4357" width="0" style="64" hidden="1" customWidth="1"/>
    <col min="4358" max="4358" width="2.140625" style="64" customWidth="1"/>
    <col min="4359" max="4598" width="9.140625" style="64"/>
    <col min="4599" max="4599" width="2" style="64" customWidth="1"/>
    <col min="4600" max="4601" width="9.140625" style="64"/>
    <col min="4602" max="4602" width="7.28515625" style="64" customWidth="1"/>
    <col min="4603" max="4603" width="2.85546875" style="64" customWidth="1"/>
    <col min="4604" max="4604" width="9.140625" style="64"/>
    <col min="4605" max="4605" width="10.5703125" style="64" customWidth="1"/>
    <col min="4606" max="4606" width="7.85546875" style="64" customWidth="1"/>
    <col min="4607" max="4607" width="2.85546875" style="64" customWidth="1"/>
    <col min="4608" max="4608" width="21" style="64" customWidth="1"/>
    <col min="4609" max="4609" width="23.5703125" style="64" customWidth="1"/>
    <col min="4610" max="4610" width="12.140625" style="64" customWidth="1"/>
    <col min="4611" max="4611" width="3.28515625" style="64" customWidth="1"/>
    <col min="4612" max="4612" width="26.85546875" style="64" customWidth="1"/>
    <col min="4613" max="4613" width="0" style="64" hidden="1" customWidth="1"/>
    <col min="4614" max="4614" width="2.140625" style="64" customWidth="1"/>
    <col min="4615" max="4854" width="9.140625" style="64"/>
    <col min="4855" max="4855" width="2" style="64" customWidth="1"/>
    <col min="4856" max="4857" width="9.140625" style="64"/>
    <col min="4858" max="4858" width="7.28515625" style="64" customWidth="1"/>
    <col min="4859" max="4859" width="2.85546875" style="64" customWidth="1"/>
    <col min="4860" max="4860" width="9.140625" style="64"/>
    <col min="4861" max="4861" width="10.5703125" style="64" customWidth="1"/>
    <col min="4862" max="4862" width="7.85546875" style="64" customWidth="1"/>
    <col min="4863" max="4863" width="2.85546875" style="64" customWidth="1"/>
    <col min="4864" max="4864" width="21" style="64" customWidth="1"/>
    <col min="4865" max="4865" width="23.5703125" style="64" customWidth="1"/>
    <col min="4866" max="4866" width="12.140625" style="64" customWidth="1"/>
    <col min="4867" max="4867" width="3.28515625" style="64" customWidth="1"/>
    <col min="4868" max="4868" width="26.85546875" style="64" customWidth="1"/>
    <col min="4869" max="4869" width="0" style="64" hidden="1" customWidth="1"/>
    <col min="4870" max="4870" width="2.140625" style="64" customWidth="1"/>
    <col min="4871" max="5110" width="9.140625" style="64"/>
    <col min="5111" max="5111" width="2" style="64" customWidth="1"/>
    <col min="5112" max="5113" width="9.140625" style="64"/>
    <col min="5114" max="5114" width="7.28515625" style="64" customWidth="1"/>
    <col min="5115" max="5115" width="2.85546875" style="64" customWidth="1"/>
    <col min="5116" max="5116" width="9.140625" style="64"/>
    <col min="5117" max="5117" width="10.5703125" style="64" customWidth="1"/>
    <col min="5118" max="5118" width="7.85546875" style="64" customWidth="1"/>
    <col min="5119" max="5119" width="2.85546875" style="64" customWidth="1"/>
    <col min="5120" max="5120" width="21" style="64" customWidth="1"/>
    <col min="5121" max="5121" width="23.5703125" style="64" customWidth="1"/>
    <col min="5122" max="5122" width="12.140625" style="64" customWidth="1"/>
    <col min="5123" max="5123" width="3.28515625" style="64" customWidth="1"/>
    <col min="5124" max="5124" width="26.85546875" style="64" customWidth="1"/>
    <col min="5125" max="5125" width="0" style="64" hidden="1" customWidth="1"/>
    <col min="5126" max="5126" width="2.140625" style="64" customWidth="1"/>
    <col min="5127" max="5366" width="9.140625" style="64"/>
    <col min="5367" max="5367" width="2" style="64" customWidth="1"/>
    <col min="5368" max="5369" width="9.140625" style="64"/>
    <col min="5370" max="5370" width="7.28515625" style="64" customWidth="1"/>
    <col min="5371" max="5371" width="2.85546875" style="64" customWidth="1"/>
    <col min="5372" max="5372" width="9.140625" style="64"/>
    <col min="5373" max="5373" width="10.5703125" style="64" customWidth="1"/>
    <col min="5374" max="5374" width="7.85546875" style="64" customWidth="1"/>
    <col min="5375" max="5375" width="2.85546875" style="64" customWidth="1"/>
    <col min="5376" max="5376" width="21" style="64" customWidth="1"/>
    <col min="5377" max="5377" width="23.5703125" style="64" customWidth="1"/>
    <col min="5378" max="5378" width="12.140625" style="64" customWidth="1"/>
    <col min="5379" max="5379" width="3.28515625" style="64" customWidth="1"/>
    <col min="5380" max="5380" width="26.85546875" style="64" customWidth="1"/>
    <col min="5381" max="5381" width="0" style="64" hidden="1" customWidth="1"/>
    <col min="5382" max="5382" width="2.140625" style="64" customWidth="1"/>
    <col min="5383" max="5622" width="9.140625" style="64"/>
    <col min="5623" max="5623" width="2" style="64" customWidth="1"/>
    <col min="5624" max="5625" width="9.140625" style="64"/>
    <col min="5626" max="5626" width="7.28515625" style="64" customWidth="1"/>
    <col min="5627" max="5627" width="2.85546875" style="64" customWidth="1"/>
    <col min="5628" max="5628" width="9.140625" style="64"/>
    <col min="5629" max="5629" width="10.5703125" style="64" customWidth="1"/>
    <col min="5630" max="5630" width="7.85546875" style="64" customWidth="1"/>
    <col min="5631" max="5631" width="2.85546875" style="64" customWidth="1"/>
    <col min="5632" max="5632" width="21" style="64" customWidth="1"/>
    <col min="5633" max="5633" width="23.5703125" style="64" customWidth="1"/>
    <col min="5634" max="5634" width="12.140625" style="64" customWidth="1"/>
    <col min="5635" max="5635" width="3.28515625" style="64" customWidth="1"/>
    <col min="5636" max="5636" width="26.85546875" style="64" customWidth="1"/>
    <col min="5637" max="5637" width="0" style="64" hidden="1" customWidth="1"/>
    <col min="5638" max="5638" width="2.140625" style="64" customWidth="1"/>
    <col min="5639" max="5878" width="9.140625" style="64"/>
    <col min="5879" max="5879" width="2" style="64" customWidth="1"/>
    <col min="5880" max="5881" width="9.140625" style="64"/>
    <col min="5882" max="5882" width="7.28515625" style="64" customWidth="1"/>
    <col min="5883" max="5883" width="2.85546875" style="64" customWidth="1"/>
    <col min="5884" max="5884" width="9.140625" style="64"/>
    <col min="5885" max="5885" width="10.5703125" style="64" customWidth="1"/>
    <col min="5886" max="5886" width="7.85546875" style="64" customWidth="1"/>
    <col min="5887" max="5887" width="2.85546875" style="64" customWidth="1"/>
    <col min="5888" max="5888" width="21" style="64" customWidth="1"/>
    <col min="5889" max="5889" width="23.5703125" style="64" customWidth="1"/>
    <col min="5890" max="5890" width="12.140625" style="64" customWidth="1"/>
    <col min="5891" max="5891" width="3.28515625" style="64" customWidth="1"/>
    <col min="5892" max="5892" width="26.85546875" style="64" customWidth="1"/>
    <col min="5893" max="5893" width="0" style="64" hidden="1" customWidth="1"/>
    <col min="5894" max="5894" width="2.140625" style="64" customWidth="1"/>
    <col min="5895" max="6134" width="9.140625" style="64"/>
    <col min="6135" max="6135" width="2" style="64" customWidth="1"/>
    <col min="6136" max="6137" width="9.140625" style="64"/>
    <col min="6138" max="6138" width="7.28515625" style="64" customWidth="1"/>
    <col min="6139" max="6139" width="2.85546875" style="64" customWidth="1"/>
    <col min="6140" max="6140" width="9.140625" style="64"/>
    <col min="6141" max="6141" width="10.5703125" style="64" customWidth="1"/>
    <col min="6142" max="6142" width="7.85546875" style="64" customWidth="1"/>
    <col min="6143" max="6143" width="2.85546875" style="64" customWidth="1"/>
    <col min="6144" max="6144" width="21" style="64" customWidth="1"/>
    <col min="6145" max="6145" width="23.5703125" style="64" customWidth="1"/>
    <col min="6146" max="6146" width="12.140625" style="64" customWidth="1"/>
    <col min="6147" max="6147" width="3.28515625" style="64" customWidth="1"/>
    <col min="6148" max="6148" width="26.85546875" style="64" customWidth="1"/>
    <col min="6149" max="6149" width="0" style="64" hidden="1" customWidth="1"/>
    <col min="6150" max="6150" width="2.140625" style="64" customWidth="1"/>
    <col min="6151" max="6390" width="9.140625" style="64"/>
    <col min="6391" max="6391" width="2" style="64" customWidth="1"/>
    <col min="6392" max="6393" width="9.140625" style="64"/>
    <col min="6394" max="6394" width="7.28515625" style="64" customWidth="1"/>
    <col min="6395" max="6395" width="2.85546875" style="64" customWidth="1"/>
    <col min="6396" max="6396" width="9.140625" style="64"/>
    <col min="6397" max="6397" width="10.5703125" style="64" customWidth="1"/>
    <col min="6398" max="6398" width="7.85546875" style="64" customWidth="1"/>
    <col min="6399" max="6399" width="2.85546875" style="64" customWidth="1"/>
    <col min="6400" max="6400" width="21" style="64" customWidth="1"/>
    <col min="6401" max="6401" width="23.5703125" style="64" customWidth="1"/>
    <col min="6402" max="6402" width="12.140625" style="64" customWidth="1"/>
    <col min="6403" max="6403" width="3.28515625" style="64" customWidth="1"/>
    <col min="6404" max="6404" width="26.85546875" style="64" customWidth="1"/>
    <col min="6405" max="6405" width="0" style="64" hidden="1" customWidth="1"/>
    <col min="6406" max="6406" width="2.140625" style="64" customWidth="1"/>
    <col min="6407" max="6646" width="9.140625" style="64"/>
    <col min="6647" max="6647" width="2" style="64" customWidth="1"/>
    <col min="6648" max="6649" width="9.140625" style="64"/>
    <col min="6650" max="6650" width="7.28515625" style="64" customWidth="1"/>
    <col min="6651" max="6651" width="2.85546875" style="64" customWidth="1"/>
    <col min="6652" max="6652" width="9.140625" style="64"/>
    <col min="6653" max="6653" width="10.5703125" style="64" customWidth="1"/>
    <col min="6654" max="6654" width="7.85546875" style="64" customWidth="1"/>
    <col min="6655" max="6655" width="2.85546875" style="64" customWidth="1"/>
    <col min="6656" max="6656" width="21" style="64" customWidth="1"/>
    <col min="6657" max="6657" width="23.5703125" style="64" customWidth="1"/>
    <col min="6658" max="6658" width="12.140625" style="64" customWidth="1"/>
    <col min="6659" max="6659" width="3.28515625" style="64" customWidth="1"/>
    <col min="6660" max="6660" width="26.85546875" style="64" customWidth="1"/>
    <col min="6661" max="6661" width="0" style="64" hidden="1" customWidth="1"/>
    <col min="6662" max="6662" width="2.140625" style="64" customWidth="1"/>
    <col min="6663" max="6902" width="9.140625" style="64"/>
    <col min="6903" max="6903" width="2" style="64" customWidth="1"/>
    <col min="6904" max="6905" width="9.140625" style="64"/>
    <col min="6906" max="6906" width="7.28515625" style="64" customWidth="1"/>
    <col min="6907" max="6907" width="2.85546875" style="64" customWidth="1"/>
    <col min="6908" max="6908" width="9.140625" style="64"/>
    <col min="6909" max="6909" width="10.5703125" style="64" customWidth="1"/>
    <col min="6910" max="6910" width="7.85546875" style="64" customWidth="1"/>
    <col min="6911" max="6911" width="2.85546875" style="64" customWidth="1"/>
    <col min="6912" max="6912" width="21" style="64" customWidth="1"/>
    <col min="6913" max="6913" width="23.5703125" style="64" customWidth="1"/>
    <col min="6914" max="6914" width="12.140625" style="64" customWidth="1"/>
    <col min="6915" max="6915" width="3.28515625" style="64" customWidth="1"/>
    <col min="6916" max="6916" width="26.85546875" style="64" customWidth="1"/>
    <col min="6917" max="6917" width="0" style="64" hidden="1" customWidth="1"/>
    <col min="6918" max="6918" width="2.140625" style="64" customWidth="1"/>
    <col min="6919" max="7158" width="9.140625" style="64"/>
    <col min="7159" max="7159" width="2" style="64" customWidth="1"/>
    <col min="7160" max="7161" width="9.140625" style="64"/>
    <col min="7162" max="7162" width="7.28515625" style="64" customWidth="1"/>
    <col min="7163" max="7163" width="2.85546875" style="64" customWidth="1"/>
    <col min="7164" max="7164" width="9.140625" style="64"/>
    <col min="7165" max="7165" width="10.5703125" style="64" customWidth="1"/>
    <col min="7166" max="7166" width="7.85546875" style="64" customWidth="1"/>
    <col min="7167" max="7167" width="2.85546875" style="64" customWidth="1"/>
    <col min="7168" max="7168" width="21" style="64" customWidth="1"/>
    <col min="7169" max="7169" width="23.5703125" style="64" customWidth="1"/>
    <col min="7170" max="7170" width="12.140625" style="64" customWidth="1"/>
    <col min="7171" max="7171" width="3.28515625" style="64" customWidth="1"/>
    <col min="7172" max="7172" width="26.85546875" style="64" customWidth="1"/>
    <col min="7173" max="7173" width="0" style="64" hidden="1" customWidth="1"/>
    <col min="7174" max="7174" width="2.140625" style="64" customWidth="1"/>
    <col min="7175" max="7414" width="9.140625" style="64"/>
    <col min="7415" max="7415" width="2" style="64" customWidth="1"/>
    <col min="7416" max="7417" width="9.140625" style="64"/>
    <col min="7418" max="7418" width="7.28515625" style="64" customWidth="1"/>
    <col min="7419" max="7419" width="2.85546875" style="64" customWidth="1"/>
    <col min="7420" max="7420" width="9.140625" style="64"/>
    <col min="7421" max="7421" width="10.5703125" style="64" customWidth="1"/>
    <col min="7422" max="7422" width="7.85546875" style="64" customWidth="1"/>
    <col min="7423" max="7423" width="2.85546875" style="64" customWidth="1"/>
    <col min="7424" max="7424" width="21" style="64" customWidth="1"/>
    <col min="7425" max="7425" width="23.5703125" style="64" customWidth="1"/>
    <col min="7426" max="7426" width="12.140625" style="64" customWidth="1"/>
    <col min="7427" max="7427" width="3.28515625" style="64" customWidth="1"/>
    <col min="7428" max="7428" width="26.85546875" style="64" customWidth="1"/>
    <col min="7429" max="7429" width="0" style="64" hidden="1" customWidth="1"/>
    <col min="7430" max="7430" width="2.140625" style="64" customWidth="1"/>
    <col min="7431" max="7670" width="9.140625" style="64"/>
    <col min="7671" max="7671" width="2" style="64" customWidth="1"/>
    <col min="7672" max="7673" width="9.140625" style="64"/>
    <col min="7674" max="7674" width="7.28515625" style="64" customWidth="1"/>
    <col min="7675" max="7675" width="2.85546875" style="64" customWidth="1"/>
    <col min="7676" max="7676" width="9.140625" style="64"/>
    <col min="7677" max="7677" width="10.5703125" style="64" customWidth="1"/>
    <col min="7678" max="7678" width="7.85546875" style="64" customWidth="1"/>
    <col min="7679" max="7679" width="2.85546875" style="64" customWidth="1"/>
    <col min="7680" max="7680" width="21" style="64" customWidth="1"/>
    <col min="7681" max="7681" width="23.5703125" style="64" customWidth="1"/>
    <col min="7682" max="7682" width="12.140625" style="64" customWidth="1"/>
    <col min="7683" max="7683" width="3.28515625" style="64" customWidth="1"/>
    <col min="7684" max="7684" width="26.85546875" style="64" customWidth="1"/>
    <col min="7685" max="7685" width="0" style="64" hidden="1" customWidth="1"/>
    <col min="7686" max="7686" width="2.140625" style="64" customWidth="1"/>
    <col min="7687" max="7926" width="9.140625" style="64"/>
    <col min="7927" max="7927" width="2" style="64" customWidth="1"/>
    <col min="7928" max="7929" width="9.140625" style="64"/>
    <col min="7930" max="7930" width="7.28515625" style="64" customWidth="1"/>
    <col min="7931" max="7931" width="2.85546875" style="64" customWidth="1"/>
    <col min="7932" max="7932" width="9.140625" style="64"/>
    <col min="7933" max="7933" width="10.5703125" style="64" customWidth="1"/>
    <col min="7934" max="7934" width="7.85546875" style="64" customWidth="1"/>
    <col min="7935" max="7935" width="2.85546875" style="64" customWidth="1"/>
    <col min="7936" max="7936" width="21" style="64" customWidth="1"/>
    <col min="7937" max="7937" width="23.5703125" style="64" customWidth="1"/>
    <col min="7938" max="7938" width="12.140625" style="64" customWidth="1"/>
    <col min="7939" max="7939" width="3.28515625" style="64" customWidth="1"/>
    <col min="7940" max="7940" width="26.85546875" style="64" customWidth="1"/>
    <col min="7941" max="7941" width="0" style="64" hidden="1" customWidth="1"/>
    <col min="7942" max="7942" width="2.140625" style="64" customWidth="1"/>
    <col min="7943" max="8182" width="9.140625" style="64"/>
    <col min="8183" max="8183" width="2" style="64" customWidth="1"/>
    <col min="8184" max="8185" width="9.140625" style="64"/>
    <col min="8186" max="8186" width="7.28515625" style="64" customWidth="1"/>
    <col min="8187" max="8187" width="2.85546875" style="64" customWidth="1"/>
    <col min="8188" max="8188" width="9.140625" style="64"/>
    <col min="8189" max="8189" width="10.5703125" style="64" customWidth="1"/>
    <col min="8190" max="8190" width="7.85546875" style="64" customWidth="1"/>
    <col min="8191" max="8191" width="2.85546875" style="64" customWidth="1"/>
    <col min="8192" max="8192" width="21" style="64" customWidth="1"/>
    <col min="8193" max="8193" width="23.5703125" style="64" customWidth="1"/>
    <col min="8194" max="8194" width="12.140625" style="64" customWidth="1"/>
    <col min="8195" max="8195" width="3.28515625" style="64" customWidth="1"/>
    <col min="8196" max="8196" width="26.85546875" style="64" customWidth="1"/>
    <col min="8197" max="8197" width="0" style="64" hidden="1" customWidth="1"/>
    <col min="8198" max="8198" width="2.140625" style="64" customWidth="1"/>
    <col min="8199" max="8438" width="9.140625" style="64"/>
    <col min="8439" max="8439" width="2" style="64" customWidth="1"/>
    <col min="8440" max="8441" width="9.140625" style="64"/>
    <col min="8442" max="8442" width="7.28515625" style="64" customWidth="1"/>
    <col min="8443" max="8443" width="2.85546875" style="64" customWidth="1"/>
    <col min="8444" max="8444" width="9.140625" style="64"/>
    <col min="8445" max="8445" width="10.5703125" style="64" customWidth="1"/>
    <col min="8446" max="8446" width="7.85546875" style="64" customWidth="1"/>
    <col min="8447" max="8447" width="2.85546875" style="64" customWidth="1"/>
    <col min="8448" max="8448" width="21" style="64" customWidth="1"/>
    <col min="8449" max="8449" width="23.5703125" style="64" customWidth="1"/>
    <col min="8450" max="8450" width="12.140625" style="64" customWidth="1"/>
    <col min="8451" max="8451" width="3.28515625" style="64" customWidth="1"/>
    <col min="8452" max="8452" width="26.85546875" style="64" customWidth="1"/>
    <col min="8453" max="8453" width="0" style="64" hidden="1" customWidth="1"/>
    <col min="8454" max="8454" width="2.140625" style="64" customWidth="1"/>
    <col min="8455" max="8694" width="9.140625" style="64"/>
    <col min="8695" max="8695" width="2" style="64" customWidth="1"/>
    <col min="8696" max="8697" width="9.140625" style="64"/>
    <col min="8698" max="8698" width="7.28515625" style="64" customWidth="1"/>
    <col min="8699" max="8699" width="2.85546875" style="64" customWidth="1"/>
    <col min="8700" max="8700" width="9.140625" style="64"/>
    <col min="8701" max="8701" width="10.5703125" style="64" customWidth="1"/>
    <col min="8702" max="8702" width="7.85546875" style="64" customWidth="1"/>
    <col min="8703" max="8703" width="2.85546875" style="64" customWidth="1"/>
    <col min="8704" max="8704" width="21" style="64" customWidth="1"/>
    <col min="8705" max="8705" width="23.5703125" style="64" customWidth="1"/>
    <col min="8706" max="8706" width="12.140625" style="64" customWidth="1"/>
    <col min="8707" max="8707" width="3.28515625" style="64" customWidth="1"/>
    <col min="8708" max="8708" width="26.85546875" style="64" customWidth="1"/>
    <col min="8709" max="8709" width="0" style="64" hidden="1" customWidth="1"/>
    <col min="8710" max="8710" width="2.140625" style="64" customWidth="1"/>
    <col min="8711" max="8950" width="9.140625" style="64"/>
    <col min="8951" max="8951" width="2" style="64" customWidth="1"/>
    <col min="8952" max="8953" width="9.140625" style="64"/>
    <col min="8954" max="8954" width="7.28515625" style="64" customWidth="1"/>
    <col min="8955" max="8955" width="2.85546875" style="64" customWidth="1"/>
    <col min="8956" max="8956" width="9.140625" style="64"/>
    <col min="8957" max="8957" width="10.5703125" style="64" customWidth="1"/>
    <col min="8958" max="8958" width="7.85546875" style="64" customWidth="1"/>
    <col min="8959" max="8959" width="2.85546875" style="64" customWidth="1"/>
    <col min="8960" max="8960" width="21" style="64" customWidth="1"/>
    <col min="8961" max="8961" width="23.5703125" style="64" customWidth="1"/>
    <col min="8962" max="8962" width="12.140625" style="64" customWidth="1"/>
    <col min="8963" max="8963" width="3.28515625" style="64" customWidth="1"/>
    <col min="8964" max="8964" width="26.85546875" style="64" customWidth="1"/>
    <col min="8965" max="8965" width="0" style="64" hidden="1" customWidth="1"/>
    <col min="8966" max="8966" width="2.140625" style="64" customWidth="1"/>
    <col min="8967" max="9206" width="9.140625" style="64"/>
    <col min="9207" max="9207" width="2" style="64" customWidth="1"/>
    <col min="9208" max="9209" width="9.140625" style="64"/>
    <col min="9210" max="9210" width="7.28515625" style="64" customWidth="1"/>
    <col min="9211" max="9211" width="2.85546875" style="64" customWidth="1"/>
    <col min="9212" max="9212" width="9.140625" style="64"/>
    <col min="9213" max="9213" width="10.5703125" style="64" customWidth="1"/>
    <col min="9214" max="9214" width="7.85546875" style="64" customWidth="1"/>
    <col min="9215" max="9215" width="2.85546875" style="64" customWidth="1"/>
    <col min="9216" max="9216" width="21" style="64" customWidth="1"/>
    <col min="9217" max="9217" width="23.5703125" style="64" customWidth="1"/>
    <col min="9218" max="9218" width="12.140625" style="64" customWidth="1"/>
    <col min="9219" max="9219" width="3.28515625" style="64" customWidth="1"/>
    <col min="9220" max="9220" width="26.85546875" style="64" customWidth="1"/>
    <col min="9221" max="9221" width="0" style="64" hidden="1" customWidth="1"/>
    <col min="9222" max="9222" width="2.140625" style="64" customWidth="1"/>
    <col min="9223" max="9462" width="9.140625" style="64"/>
    <col min="9463" max="9463" width="2" style="64" customWidth="1"/>
    <col min="9464" max="9465" width="9.140625" style="64"/>
    <col min="9466" max="9466" width="7.28515625" style="64" customWidth="1"/>
    <col min="9467" max="9467" width="2.85546875" style="64" customWidth="1"/>
    <col min="9468" max="9468" width="9.140625" style="64"/>
    <col min="9469" max="9469" width="10.5703125" style="64" customWidth="1"/>
    <col min="9470" max="9470" width="7.85546875" style="64" customWidth="1"/>
    <col min="9471" max="9471" width="2.85546875" style="64" customWidth="1"/>
    <col min="9472" max="9472" width="21" style="64" customWidth="1"/>
    <col min="9473" max="9473" width="23.5703125" style="64" customWidth="1"/>
    <col min="9474" max="9474" width="12.140625" style="64" customWidth="1"/>
    <col min="9475" max="9475" width="3.28515625" style="64" customWidth="1"/>
    <col min="9476" max="9476" width="26.85546875" style="64" customWidth="1"/>
    <col min="9477" max="9477" width="0" style="64" hidden="1" customWidth="1"/>
    <col min="9478" max="9478" width="2.140625" style="64" customWidth="1"/>
    <col min="9479" max="9718" width="9.140625" style="64"/>
    <col min="9719" max="9719" width="2" style="64" customWidth="1"/>
    <col min="9720" max="9721" width="9.140625" style="64"/>
    <col min="9722" max="9722" width="7.28515625" style="64" customWidth="1"/>
    <col min="9723" max="9723" width="2.85546875" style="64" customWidth="1"/>
    <col min="9724" max="9724" width="9.140625" style="64"/>
    <col min="9725" max="9725" width="10.5703125" style="64" customWidth="1"/>
    <col min="9726" max="9726" width="7.85546875" style="64" customWidth="1"/>
    <col min="9727" max="9727" width="2.85546875" style="64" customWidth="1"/>
    <col min="9728" max="9728" width="21" style="64" customWidth="1"/>
    <col min="9729" max="9729" width="23.5703125" style="64" customWidth="1"/>
    <col min="9730" max="9730" width="12.140625" style="64" customWidth="1"/>
    <col min="9731" max="9731" width="3.28515625" style="64" customWidth="1"/>
    <col min="9732" max="9732" width="26.85546875" style="64" customWidth="1"/>
    <col min="9733" max="9733" width="0" style="64" hidden="1" customWidth="1"/>
    <col min="9734" max="9734" width="2.140625" style="64" customWidth="1"/>
    <col min="9735" max="9974" width="9.140625" style="64"/>
    <col min="9975" max="9975" width="2" style="64" customWidth="1"/>
    <col min="9976" max="9977" width="9.140625" style="64"/>
    <col min="9978" max="9978" width="7.28515625" style="64" customWidth="1"/>
    <col min="9979" max="9979" width="2.85546875" style="64" customWidth="1"/>
    <col min="9980" max="9980" width="9.140625" style="64"/>
    <col min="9981" max="9981" width="10.5703125" style="64" customWidth="1"/>
    <col min="9982" max="9982" width="7.85546875" style="64" customWidth="1"/>
    <col min="9983" max="9983" width="2.85546875" style="64" customWidth="1"/>
    <col min="9984" max="9984" width="21" style="64" customWidth="1"/>
    <col min="9985" max="9985" width="23.5703125" style="64" customWidth="1"/>
    <col min="9986" max="9986" width="12.140625" style="64" customWidth="1"/>
    <col min="9987" max="9987" width="3.28515625" style="64" customWidth="1"/>
    <col min="9988" max="9988" width="26.85546875" style="64" customWidth="1"/>
    <col min="9989" max="9989" width="0" style="64" hidden="1" customWidth="1"/>
    <col min="9990" max="9990" width="2.140625" style="64" customWidth="1"/>
    <col min="9991" max="10230" width="9.140625" style="64"/>
    <col min="10231" max="10231" width="2" style="64" customWidth="1"/>
    <col min="10232" max="10233" width="9.140625" style="64"/>
    <col min="10234" max="10234" width="7.28515625" style="64" customWidth="1"/>
    <col min="10235" max="10235" width="2.85546875" style="64" customWidth="1"/>
    <col min="10236" max="10236" width="9.140625" style="64"/>
    <col min="10237" max="10237" width="10.5703125" style="64" customWidth="1"/>
    <col min="10238" max="10238" width="7.85546875" style="64" customWidth="1"/>
    <col min="10239" max="10239" width="2.85546875" style="64" customWidth="1"/>
    <col min="10240" max="10240" width="21" style="64" customWidth="1"/>
    <col min="10241" max="10241" width="23.5703125" style="64" customWidth="1"/>
    <col min="10242" max="10242" width="12.140625" style="64" customWidth="1"/>
    <col min="10243" max="10243" width="3.28515625" style="64" customWidth="1"/>
    <col min="10244" max="10244" width="26.85546875" style="64" customWidth="1"/>
    <col min="10245" max="10245" width="0" style="64" hidden="1" customWidth="1"/>
    <col min="10246" max="10246" width="2.140625" style="64" customWidth="1"/>
    <col min="10247" max="10486" width="9.140625" style="64"/>
    <col min="10487" max="10487" width="2" style="64" customWidth="1"/>
    <col min="10488" max="10489" width="9.140625" style="64"/>
    <col min="10490" max="10490" width="7.28515625" style="64" customWidth="1"/>
    <col min="10491" max="10491" width="2.85546875" style="64" customWidth="1"/>
    <col min="10492" max="10492" width="9.140625" style="64"/>
    <col min="10493" max="10493" width="10.5703125" style="64" customWidth="1"/>
    <col min="10494" max="10494" width="7.85546875" style="64" customWidth="1"/>
    <col min="10495" max="10495" width="2.85546875" style="64" customWidth="1"/>
    <col min="10496" max="10496" width="21" style="64" customWidth="1"/>
    <col min="10497" max="10497" width="23.5703125" style="64" customWidth="1"/>
    <col min="10498" max="10498" width="12.140625" style="64" customWidth="1"/>
    <col min="10499" max="10499" width="3.28515625" style="64" customWidth="1"/>
    <col min="10500" max="10500" width="26.85546875" style="64" customWidth="1"/>
    <col min="10501" max="10501" width="0" style="64" hidden="1" customWidth="1"/>
    <col min="10502" max="10502" width="2.140625" style="64" customWidth="1"/>
    <col min="10503" max="10742" width="9.140625" style="64"/>
    <col min="10743" max="10743" width="2" style="64" customWidth="1"/>
    <col min="10744" max="10745" width="9.140625" style="64"/>
    <col min="10746" max="10746" width="7.28515625" style="64" customWidth="1"/>
    <col min="10747" max="10747" width="2.85546875" style="64" customWidth="1"/>
    <col min="10748" max="10748" width="9.140625" style="64"/>
    <col min="10749" max="10749" width="10.5703125" style="64" customWidth="1"/>
    <col min="10750" max="10750" width="7.85546875" style="64" customWidth="1"/>
    <col min="10751" max="10751" width="2.85546875" style="64" customWidth="1"/>
    <col min="10752" max="10752" width="21" style="64" customWidth="1"/>
    <col min="10753" max="10753" width="23.5703125" style="64" customWidth="1"/>
    <col min="10754" max="10754" width="12.140625" style="64" customWidth="1"/>
    <col min="10755" max="10755" width="3.28515625" style="64" customWidth="1"/>
    <col min="10756" max="10756" width="26.85546875" style="64" customWidth="1"/>
    <col min="10757" max="10757" width="0" style="64" hidden="1" customWidth="1"/>
    <col min="10758" max="10758" width="2.140625" style="64" customWidth="1"/>
    <col min="10759" max="10998" width="9.140625" style="64"/>
    <col min="10999" max="10999" width="2" style="64" customWidth="1"/>
    <col min="11000" max="11001" width="9.140625" style="64"/>
    <col min="11002" max="11002" width="7.28515625" style="64" customWidth="1"/>
    <col min="11003" max="11003" width="2.85546875" style="64" customWidth="1"/>
    <col min="11004" max="11004" width="9.140625" style="64"/>
    <col min="11005" max="11005" width="10.5703125" style="64" customWidth="1"/>
    <col min="11006" max="11006" width="7.85546875" style="64" customWidth="1"/>
    <col min="11007" max="11007" width="2.85546875" style="64" customWidth="1"/>
    <col min="11008" max="11008" width="21" style="64" customWidth="1"/>
    <col min="11009" max="11009" width="23.5703125" style="64" customWidth="1"/>
    <col min="11010" max="11010" width="12.140625" style="64" customWidth="1"/>
    <col min="11011" max="11011" width="3.28515625" style="64" customWidth="1"/>
    <col min="11012" max="11012" width="26.85546875" style="64" customWidth="1"/>
    <col min="11013" max="11013" width="0" style="64" hidden="1" customWidth="1"/>
    <col min="11014" max="11014" width="2.140625" style="64" customWidth="1"/>
    <col min="11015" max="11254" width="9.140625" style="64"/>
    <col min="11255" max="11255" width="2" style="64" customWidth="1"/>
    <col min="11256" max="11257" width="9.140625" style="64"/>
    <col min="11258" max="11258" width="7.28515625" style="64" customWidth="1"/>
    <col min="11259" max="11259" width="2.85546875" style="64" customWidth="1"/>
    <col min="11260" max="11260" width="9.140625" style="64"/>
    <col min="11261" max="11261" width="10.5703125" style="64" customWidth="1"/>
    <col min="11262" max="11262" width="7.85546875" style="64" customWidth="1"/>
    <col min="11263" max="11263" width="2.85546875" style="64" customWidth="1"/>
    <col min="11264" max="11264" width="21" style="64" customWidth="1"/>
    <col min="11265" max="11265" width="23.5703125" style="64" customWidth="1"/>
    <col min="11266" max="11266" width="12.140625" style="64" customWidth="1"/>
    <col min="11267" max="11267" width="3.28515625" style="64" customWidth="1"/>
    <col min="11268" max="11268" width="26.85546875" style="64" customWidth="1"/>
    <col min="11269" max="11269" width="0" style="64" hidden="1" customWidth="1"/>
    <col min="11270" max="11270" width="2.140625" style="64" customWidth="1"/>
    <col min="11271" max="11510" width="9.140625" style="64"/>
    <col min="11511" max="11511" width="2" style="64" customWidth="1"/>
    <col min="11512" max="11513" width="9.140625" style="64"/>
    <col min="11514" max="11514" width="7.28515625" style="64" customWidth="1"/>
    <col min="11515" max="11515" width="2.85546875" style="64" customWidth="1"/>
    <col min="11516" max="11516" width="9.140625" style="64"/>
    <col min="11517" max="11517" width="10.5703125" style="64" customWidth="1"/>
    <col min="11518" max="11518" width="7.85546875" style="64" customWidth="1"/>
    <col min="11519" max="11519" width="2.85546875" style="64" customWidth="1"/>
    <col min="11520" max="11520" width="21" style="64" customWidth="1"/>
    <col min="11521" max="11521" width="23.5703125" style="64" customWidth="1"/>
    <col min="11522" max="11522" width="12.140625" style="64" customWidth="1"/>
    <col min="11523" max="11523" width="3.28515625" style="64" customWidth="1"/>
    <col min="11524" max="11524" width="26.85546875" style="64" customWidth="1"/>
    <col min="11525" max="11525" width="0" style="64" hidden="1" customWidth="1"/>
    <col min="11526" max="11526" width="2.140625" style="64" customWidth="1"/>
    <col min="11527" max="11766" width="9.140625" style="64"/>
    <col min="11767" max="11767" width="2" style="64" customWidth="1"/>
    <col min="11768" max="11769" width="9.140625" style="64"/>
    <col min="11770" max="11770" width="7.28515625" style="64" customWidth="1"/>
    <col min="11771" max="11771" width="2.85546875" style="64" customWidth="1"/>
    <col min="11772" max="11772" width="9.140625" style="64"/>
    <col min="11773" max="11773" width="10.5703125" style="64" customWidth="1"/>
    <col min="11774" max="11774" width="7.85546875" style="64" customWidth="1"/>
    <col min="11775" max="11775" width="2.85546875" style="64" customWidth="1"/>
    <col min="11776" max="11776" width="21" style="64" customWidth="1"/>
    <col min="11777" max="11777" width="23.5703125" style="64" customWidth="1"/>
    <col min="11778" max="11778" width="12.140625" style="64" customWidth="1"/>
    <col min="11779" max="11779" width="3.28515625" style="64" customWidth="1"/>
    <col min="11780" max="11780" width="26.85546875" style="64" customWidth="1"/>
    <col min="11781" max="11781" width="0" style="64" hidden="1" customWidth="1"/>
    <col min="11782" max="11782" width="2.140625" style="64" customWidth="1"/>
    <col min="11783" max="12022" width="9.140625" style="64"/>
    <col min="12023" max="12023" width="2" style="64" customWidth="1"/>
    <col min="12024" max="12025" width="9.140625" style="64"/>
    <col min="12026" max="12026" width="7.28515625" style="64" customWidth="1"/>
    <col min="12027" max="12027" width="2.85546875" style="64" customWidth="1"/>
    <col min="12028" max="12028" width="9.140625" style="64"/>
    <col min="12029" max="12029" width="10.5703125" style="64" customWidth="1"/>
    <col min="12030" max="12030" width="7.85546875" style="64" customWidth="1"/>
    <col min="12031" max="12031" width="2.85546875" style="64" customWidth="1"/>
    <col min="12032" max="12032" width="21" style="64" customWidth="1"/>
    <col min="12033" max="12033" width="23.5703125" style="64" customWidth="1"/>
    <col min="12034" max="12034" width="12.140625" style="64" customWidth="1"/>
    <col min="12035" max="12035" width="3.28515625" style="64" customWidth="1"/>
    <col min="12036" max="12036" width="26.85546875" style="64" customWidth="1"/>
    <col min="12037" max="12037" width="0" style="64" hidden="1" customWidth="1"/>
    <col min="12038" max="12038" width="2.140625" style="64" customWidth="1"/>
    <col min="12039" max="12278" width="9.140625" style="64"/>
    <col min="12279" max="12279" width="2" style="64" customWidth="1"/>
    <col min="12280" max="12281" width="9.140625" style="64"/>
    <col min="12282" max="12282" width="7.28515625" style="64" customWidth="1"/>
    <col min="12283" max="12283" width="2.85546875" style="64" customWidth="1"/>
    <col min="12284" max="12284" width="9.140625" style="64"/>
    <col min="12285" max="12285" width="10.5703125" style="64" customWidth="1"/>
    <col min="12286" max="12286" width="7.85546875" style="64" customWidth="1"/>
    <col min="12287" max="12287" width="2.85546875" style="64" customWidth="1"/>
    <col min="12288" max="12288" width="21" style="64" customWidth="1"/>
    <col min="12289" max="12289" width="23.5703125" style="64" customWidth="1"/>
    <col min="12290" max="12290" width="12.140625" style="64" customWidth="1"/>
    <col min="12291" max="12291" width="3.28515625" style="64" customWidth="1"/>
    <col min="12292" max="12292" width="26.85546875" style="64" customWidth="1"/>
    <col min="12293" max="12293" width="0" style="64" hidden="1" customWidth="1"/>
    <col min="12294" max="12294" width="2.140625" style="64" customWidth="1"/>
    <col min="12295" max="12534" width="9.140625" style="64"/>
    <col min="12535" max="12535" width="2" style="64" customWidth="1"/>
    <col min="12536" max="12537" width="9.140625" style="64"/>
    <col min="12538" max="12538" width="7.28515625" style="64" customWidth="1"/>
    <col min="12539" max="12539" width="2.85546875" style="64" customWidth="1"/>
    <col min="12540" max="12540" width="9.140625" style="64"/>
    <col min="12541" max="12541" width="10.5703125" style="64" customWidth="1"/>
    <col min="12542" max="12542" width="7.85546875" style="64" customWidth="1"/>
    <col min="12543" max="12543" width="2.85546875" style="64" customWidth="1"/>
    <col min="12544" max="12544" width="21" style="64" customWidth="1"/>
    <col min="12545" max="12545" width="23.5703125" style="64" customWidth="1"/>
    <col min="12546" max="12546" width="12.140625" style="64" customWidth="1"/>
    <col min="12547" max="12547" width="3.28515625" style="64" customWidth="1"/>
    <col min="12548" max="12548" width="26.85546875" style="64" customWidth="1"/>
    <col min="12549" max="12549" width="0" style="64" hidden="1" customWidth="1"/>
    <col min="12550" max="12550" width="2.140625" style="64" customWidth="1"/>
    <col min="12551" max="12790" width="9.140625" style="64"/>
    <col min="12791" max="12791" width="2" style="64" customWidth="1"/>
    <col min="12792" max="12793" width="9.140625" style="64"/>
    <col min="12794" max="12794" width="7.28515625" style="64" customWidth="1"/>
    <col min="12795" max="12795" width="2.85546875" style="64" customWidth="1"/>
    <col min="12796" max="12796" width="9.140625" style="64"/>
    <col min="12797" max="12797" width="10.5703125" style="64" customWidth="1"/>
    <col min="12798" max="12798" width="7.85546875" style="64" customWidth="1"/>
    <col min="12799" max="12799" width="2.85546875" style="64" customWidth="1"/>
    <col min="12800" max="12800" width="21" style="64" customWidth="1"/>
    <col min="12801" max="12801" width="23.5703125" style="64" customWidth="1"/>
    <col min="12802" max="12802" width="12.140625" style="64" customWidth="1"/>
    <col min="12803" max="12803" width="3.28515625" style="64" customWidth="1"/>
    <col min="12804" max="12804" width="26.85546875" style="64" customWidth="1"/>
    <col min="12805" max="12805" width="0" style="64" hidden="1" customWidth="1"/>
    <col min="12806" max="12806" width="2.140625" style="64" customWidth="1"/>
    <col min="12807" max="13046" width="9.140625" style="64"/>
    <col min="13047" max="13047" width="2" style="64" customWidth="1"/>
    <col min="13048" max="13049" width="9.140625" style="64"/>
    <col min="13050" max="13050" width="7.28515625" style="64" customWidth="1"/>
    <col min="13051" max="13051" width="2.85546875" style="64" customWidth="1"/>
    <col min="13052" max="13052" width="9.140625" style="64"/>
    <col min="13053" max="13053" width="10.5703125" style="64" customWidth="1"/>
    <col min="13054" max="13054" width="7.85546875" style="64" customWidth="1"/>
    <col min="13055" max="13055" width="2.85546875" style="64" customWidth="1"/>
    <col min="13056" max="13056" width="21" style="64" customWidth="1"/>
    <col min="13057" max="13057" width="23.5703125" style="64" customWidth="1"/>
    <col min="13058" max="13058" width="12.140625" style="64" customWidth="1"/>
    <col min="13059" max="13059" width="3.28515625" style="64" customWidth="1"/>
    <col min="13060" max="13060" width="26.85546875" style="64" customWidth="1"/>
    <col min="13061" max="13061" width="0" style="64" hidden="1" customWidth="1"/>
    <col min="13062" max="13062" width="2.140625" style="64" customWidth="1"/>
    <col min="13063" max="13302" width="9.140625" style="64"/>
    <col min="13303" max="13303" width="2" style="64" customWidth="1"/>
    <col min="13304" max="13305" width="9.140625" style="64"/>
    <col min="13306" max="13306" width="7.28515625" style="64" customWidth="1"/>
    <col min="13307" max="13307" width="2.85546875" style="64" customWidth="1"/>
    <col min="13308" max="13308" width="9.140625" style="64"/>
    <col min="13309" max="13309" width="10.5703125" style="64" customWidth="1"/>
    <col min="13310" max="13310" width="7.85546875" style="64" customWidth="1"/>
    <col min="13311" max="13311" width="2.85546875" style="64" customWidth="1"/>
    <col min="13312" max="13312" width="21" style="64" customWidth="1"/>
    <col min="13313" max="13313" width="23.5703125" style="64" customWidth="1"/>
    <col min="13314" max="13314" width="12.140625" style="64" customWidth="1"/>
    <col min="13315" max="13315" width="3.28515625" style="64" customWidth="1"/>
    <col min="13316" max="13316" width="26.85546875" style="64" customWidth="1"/>
    <col min="13317" max="13317" width="0" style="64" hidden="1" customWidth="1"/>
    <col min="13318" max="13318" width="2.140625" style="64" customWidth="1"/>
    <col min="13319" max="13558" width="9.140625" style="64"/>
    <col min="13559" max="13559" width="2" style="64" customWidth="1"/>
    <col min="13560" max="13561" width="9.140625" style="64"/>
    <col min="13562" max="13562" width="7.28515625" style="64" customWidth="1"/>
    <col min="13563" max="13563" width="2.85546875" style="64" customWidth="1"/>
    <col min="13564" max="13564" width="9.140625" style="64"/>
    <col min="13565" max="13565" width="10.5703125" style="64" customWidth="1"/>
    <col min="13566" max="13566" width="7.85546875" style="64" customWidth="1"/>
    <col min="13567" max="13567" width="2.85546875" style="64" customWidth="1"/>
    <col min="13568" max="13568" width="21" style="64" customWidth="1"/>
    <col min="13569" max="13569" width="23.5703125" style="64" customWidth="1"/>
    <col min="13570" max="13570" width="12.140625" style="64" customWidth="1"/>
    <col min="13571" max="13571" width="3.28515625" style="64" customWidth="1"/>
    <col min="13572" max="13572" width="26.85546875" style="64" customWidth="1"/>
    <col min="13573" max="13573" width="0" style="64" hidden="1" customWidth="1"/>
    <col min="13574" max="13574" width="2.140625" style="64" customWidth="1"/>
    <col min="13575" max="13814" width="9.140625" style="64"/>
    <col min="13815" max="13815" width="2" style="64" customWidth="1"/>
    <col min="13816" max="13817" width="9.140625" style="64"/>
    <col min="13818" max="13818" width="7.28515625" style="64" customWidth="1"/>
    <col min="13819" max="13819" width="2.85546875" style="64" customWidth="1"/>
    <col min="13820" max="13820" width="9.140625" style="64"/>
    <col min="13821" max="13821" width="10.5703125" style="64" customWidth="1"/>
    <col min="13822" max="13822" width="7.85546875" style="64" customWidth="1"/>
    <col min="13823" max="13823" width="2.85546875" style="64" customWidth="1"/>
    <col min="13824" max="13824" width="21" style="64" customWidth="1"/>
    <col min="13825" max="13825" width="23.5703125" style="64" customWidth="1"/>
    <col min="13826" max="13826" width="12.140625" style="64" customWidth="1"/>
    <col min="13827" max="13827" width="3.28515625" style="64" customWidth="1"/>
    <col min="13828" max="13828" width="26.85546875" style="64" customWidth="1"/>
    <col min="13829" max="13829" width="0" style="64" hidden="1" customWidth="1"/>
    <col min="13830" max="13830" width="2.140625" style="64" customWidth="1"/>
    <col min="13831" max="14070" width="9.140625" style="64"/>
    <col min="14071" max="14071" width="2" style="64" customWidth="1"/>
    <col min="14072" max="14073" width="9.140625" style="64"/>
    <col min="14074" max="14074" width="7.28515625" style="64" customWidth="1"/>
    <col min="14075" max="14075" width="2.85546875" style="64" customWidth="1"/>
    <col min="14076" max="14076" width="9.140625" style="64"/>
    <col min="14077" max="14077" width="10.5703125" style="64" customWidth="1"/>
    <col min="14078" max="14078" width="7.85546875" style="64" customWidth="1"/>
    <col min="14079" max="14079" width="2.85546875" style="64" customWidth="1"/>
    <col min="14080" max="14080" width="21" style="64" customWidth="1"/>
    <col min="14081" max="14081" width="23.5703125" style="64" customWidth="1"/>
    <col min="14082" max="14082" width="12.140625" style="64" customWidth="1"/>
    <col min="14083" max="14083" width="3.28515625" style="64" customWidth="1"/>
    <col min="14084" max="14084" width="26.85546875" style="64" customWidth="1"/>
    <col min="14085" max="14085" width="0" style="64" hidden="1" customWidth="1"/>
    <col min="14086" max="14086" width="2.140625" style="64" customWidth="1"/>
    <col min="14087" max="14326" width="9.140625" style="64"/>
    <col min="14327" max="14327" width="2" style="64" customWidth="1"/>
    <col min="14328" max="14329" width="9.140625" style="64"/>
    <col min="14330" max="14330" width="7.28515625" style="64" customWidth="1"/>
    <col min="14331" max="14331" width="2.85546875" style="64" customWidth="1"/>
    <col min="14332" max="14332" width="9.140625" style="64"/>
    <col min="14333" max="14333" width="10.5703125" style="64" customWidth="1"/>
    <col min="14334" max="14334" width="7.85546875" style="64" customWidth="1"/>
    <col min="14335" max="14335" width="2.85546875" style="64" customWidth="1"/>
    <col min="14336" max="14336" width="21" style="64" customWidth="1"/>
    <col min="14337" max="14337" width="23.5703125" style="64" customWidth="1"/>
    <col min="14338" max="14338" width="12.140625" style="64" customWidth="1"/>
    <col min="14339" max="14339" width="3.28515625" style="64" customWidth="1"/>
    <col min="14340" max="14340" width="26.85546875" style="64" customWidth="1"/>
    <col min="14341" max="14341" width="0" style="64" hidden="1" customWidth="1"/>
    <col min="14342" max="14342" width="2.140625" style="64" customWidth="1"/>
    <col min="14343" max="14582" width="9.140625" style="64"/>
    <col min="14583" max="14583" width="2" style="64" customWidth="1"/>
    <col min="14584" max="14585" width="9.140625" style="64"/>
    <col min="14586" max="14586" width="7.28515625" style="64" customWidth="1"/>
    <col min="14587" max="14587" width="2.85546875" style="64" customWidth="1"/>
    <col min="14588" max="14588" width="9.140625" style="64"/>
    <col min="14589" max="14589" width="10.5703125" style="64" customWidth="1"/>
    <col min="14590" max="14590" width="7.85546875" style="64" customWidth="1"/>
    <col min="14591" max="14591" width="2.85546875" style="64" customWidth="1"/>
    <col min="14592" max="14592" width="21" style="64" customWidth="1"/>
    <col min="14593" max="14593" width="23.5703125" style="64" customWidth="1"/>
    <col min="14594" max="14594" width="12.140625" style="64" customWidth="1"/>
    <col min="14595" max="14595" width="3.28515625" style="64" customWidth="1"/>
    <col min="14596" max="14596" width="26.85546875" style="64" customWidth="1"/>
    <col min="14597" max="14597" width="0" style="64" hidden="1" customWidth="1"/>
    <col min="14598" max="14598" width="2.140625" style="64" customWidth="1"/>
    <col min="14599" max="14838" width="9.140625" style="64"/>
    <col min="14839" max="14839" width="2" style="64" customWidth="1"/>
    <col min="14840" max="14841" width="9.140625" style="64"/>
    <col min="14842" max="14842" width="7.28515625" style="64" customWidth="1"/>
    <col min="14843" max="14843" width="2.85546875" style="64" customWidth="1"/>
    <col min="14844" max="14844" width="9.140625" style="64"/>
    <col min="14845" max="14845" width="10.5703125" style="64" customWidth="1"/>
    <col min="14846" max="14846" width="7.85546875" style="64" customWidth="1"/>
    <col min="14847" max="14847" width="2.85546875" style="64" customWidth="1"/>
    <col min="14848" max="14848" width="21" style="64" customWidth="1"/>
    <col min="14849" max="14849" width="23.5703125" style="64" customWidth="1"/>
    <col min="14850" max="14850" width="12.140625" style="64" customWidth="1"/>
    <col min="14851" max="14851" width="3.28515625" style="64" customWidth="1"/>
    <col min="14852" max="14852" width="26.85546875" style="64" customWidth="1"/>
    <col min="14853" max="14853" width="0" style="64" hidden="1" customWidth="1"/>
    <col min="14854" max="14854" width="2.140625" style="64" customWidth="1"/>
    <col min="14855" max="15094" width="9.140625" style="64"/>
    <col min="15095" max="15095" width="2" style="64" customWidth="1"/>
    <col min="15096" max="15097" width="9.140625" style="64"/>
    <col min="15098" max="15098" width="7.28515625" style="64" customWidth="1"/>
    <col min="15099" max="15099" width="2.85546875" style="64" customWidth="1"/>
    <col min="15100" max="15100" width="9.140625" style="64"/>
    <col min="15101" max="15101" width="10.5703125" style="64" customWidth="1"/>
    <col min="15102" max="15102" width="7.85546875" style="64" customWidth="1"/>
    <col min="15103" max="15103" width="2.85546875" style="64" customWidth="1"/>
    <col min="15104" max="15104" width="21" style="64" customWidth="1"/>
    <col min="15105" max="15105" width="23.5703125" style="64" customWidth="1"/>
    <col min="15106" max="15106" width="12.140625" style="64" customWidth="1"/>
    <col min="15107" max="15107" width="3.28515625" style="64" customWidth="1"/>
    <col min="15108" max="15108" width="26.85546875" style="64" customWidth="1"/>
    <col min="15109" max="15109" width="0" style="64" hidden="1" customWidth="1"/>
    <col min="15110" max="15110" width="2.140625" style="64" customWidth="1"/>
    <col min="15111" max="15350" width="9.140625" style="64"/>
    <col min="15351" max="15351" width="2" style="64" customWidth="1"/>
    <col min="15352" max="15353" width="9.140625" style="64"/>
    <col min="15354" max="15354" width="7.28515625" style="64" customWidth="1"/>
    <col min="15355" max="15355" width="2.85546875" style="64" customWidth="1"/>
    <col min="15356" max="15356" width="9.140625" style="64"/>
    <col min="15357" max="15357" width="10.5703125" style="64" customWidth="1"/>
    <col min="15358" max="15358" width="7.85546875" style="64" customWidth="1"/>
    <col min="15359" max="15359" width="2.85546875" style="64" customWidth="1"/>
    <col min="15360" max="15360" width="21" style="64" customWidth="1"/>
    <col min="15361" max="15361" width="23.5703125" style="64" customWidth="1"/>
    <col min="15362" max="15362" width="12.140625" style="64" customWidth="1"/>
    <col min="15363" max="15363" width="3.28515625" style="64" customWidth="1"/>
    <col min="15364" max="15364" width="26.85546875" style="64" customWidth="1"/>
    <col min="15365" max="15365" width="0" style="64" hidden="1" customWidth="1"/>
    <col min="15366" max="15366" width="2.140625" style="64" customWidth="1"/>
    <col min="15367" max="15606" width="9.140625" style="64"/>
    <col min="15607" max="15607" width="2" style="64" customWidth="1"/>
    <col min="15608" max="15609" width="9.140625" style="64"/>
    <col min="15610" max="15610" width="7.28515625" style="64" customWidth="1"/>
    <col min="15611" max="15611" width="2.85546875" style="64" customWidth="1"/>
    <col min="15612" max="15612" width="9.140625" style="64"/>
    <col min="15613" max="15613" width="10.5703125" style="64" customWidth="1"/>
    <col min="15614" max="15614" width="7.85546875" style="64" customWidth="1"/>
    <col min="15615" max="15615" width="2.85546875" style="64" customWidth="1"/>
    <col min="15616" max="15616" width="21" style="64" customWidth="1"/>
    <col min="15617" max="15617" width="23.5703125" style="64" customWidth="1"/>
    <col min="15618" max="15618" width="12.140625" style="64" customWidth="1"/>
    <col min="15619" max="15619" width="3.28515625" style="64" customWidth="1"/>
    <col min="15620" max="15620" width="26.85546875" style="64" customWidth="1"/>
    <col min="15621" max="15621" width="0" style="64" hidden="1" customWidth="1"/>
    <col min="15622" max="15622" width="2.140625" style="64" customWidth="1"/>
    <col min="15623" max="15862" width="9.140625" style="64"/>
    <col min="15863" max="15863" width="2" style="64" customWidth="1"/>
    <col min="15864" max="15865" width="9.140625" style="64"/>
    <col min="15866" max="15866" width="7.28515625" style="64" customWidth="1"/>
    <col min="15867" max="15867" width="2.85546875" style="64" customWidth="1"/>
    <col min="15868" max="15868" width="9.140625" style="64"/>
    <col min="15869" max="15869" width="10.5703125" style="64" customWidth="1"/>
    <col min="15870" max="15870" width="7.85546875" style="64" customWidth="1"/>
    <col min="15871" max="15871" width="2.85546875" style="64" customWidth="1"/>
    <col min="15872" max="15872" width="21" style="64" customWidth="1"/>
    <col min="15873" max="15873" width="23.5703125" style="64" customWidth="1"/>
    <col min="15874" max="15874" width="12.140625" style="64" customWidth="1"/>
    <col min="15875" max="15875" width="3.28515625" style="64" customWidth="1"/>
    <col min="15876" max="15876" width="26.85546875" style="64" customWidth="1"/>
    <col min="15877" max="15877" width="0" style="64" hidden="1" customWidth="1"/>
    <col min="15878" max="15878" width="2.140625" style="64" customWidth="1"/>
    <col min="15879" max="16118" width="9.140625" style="64"/>
    <col min="16119" max="16119" width="2" style="64" customWidth="1"/>
    <col min="16120" max="16121" width="9.140625" style="64"/>
    <col min="16122" max="16122" width="7.28515625" style="64" customWidth="1"/>
    <col min="16123" max="16123" width="2.85546875" style="64" customWidth="1"/>
    <col min="16124" max="16124" width="9.140625" style="64"/>
    <col min="16125" max="16125" width="10.5703125" style="64" customWidth="1"/>
    <col min="16126" max="16126" width="7.85546875" style="64" customWidth="1"/>
    <col min="16127" max="16127" width="2.85546875" style="64" customWidth="1"/>
    <col min="16128" max="16128" width="21" style="64" customWidth="1"/>
    <col min="16129" max="16129" width="23.5703125" style="64" customWidth="1"/>
    <col min="16130" max="16130" width="12.140625" style="64" customWidth="1"/>
    <col min="16131" max="16131" width="3.28515625" style="64" customWidth="1"/>
    <col min="16132" max="16132" width="26.85546875" style="64" customWidth="1"/>
    <col min="16133" max="16133" width="0" style="64" hidden="1" customWidth="1"/>
    <col min="16134" max="16134" width="2.140625" style="64" customWidth="1"/>
    <col min="16135" max="16384" width="9.140625" style="64"/>
  </cols>
  <sheetData>
    <row r="3" spans="1:11" ht="13.5" thickBot="1" x14ac:dyDescent="0.25"/>
    <row r="4" spans="1:11" ht="15.75" customHeight="1" thickTop="1" x14ac:dyDescent="0.2">
      <c r="C4" s="77"/>
      <c r="D4" s="77"/>
      <c r="E4" s="141" t="s">
        <v>268</v>
      </c>
      <c r="F4" s="142"/>
      <c r="G4" s="142"/>
      <c r="H4" s="143"/>
    </row>
    <row r="5" spans="1:11" ht="15" customHeight="1" x14ac:dyDescent="0.2">
      <c r="C5" s="77"/>
      <c r="D5" s="77"/>
      <c r="E5" s="144"/>
      <c r="F5" s="145"/>
      <c r="G5" s="145"/>
      <c r="H5" s="146"/>
    </row>
    <row r="6" spans="1:11" ht="15" customHeight="1" thickBot="1" x14ac:dyDescent="0.25">
      <c r="C6" s="77"/>
      <c r="D6" s="77"/>
      <c r="E6" s="147"/>
      <c r="F6" s="148"/>
      <c r="G6" s="148"/>
      <c r="H6" s="149"/>
    </row>
    <row r="7" spans="1:11" ht="13.5" thickTop="1" x14ac:dyDescent="0.2"/>
    <row r="14" spans="1:11" x14ac:dyDescent="0.2">
      <c r="B14" s="64" t="s">
        <v>196</v>
      </c>
      <c r="G14" s="65"/>
    </row>
    <row r="15" spans="1:11" ht="13.5" thickBot="1" x14ac:dyDescent="0.25">
      <c r="G15" s="65"/>
    </row>
    <row r="16" spans="1:11" ht="15.75" customHeight="1" thickTop="1" x14ac:dyDescent="0.2">
      <c r="A16" s="78"/>
      <c r="B16" s="124"/>
      <c r="C16" s="125"/>
      <c r="D16" s="126"/>
      <c r="E16" s="78"/>
      <c r="F16" s="79"/>
      <c r="G16" s="69"/>
      <c r="H16" s="79"/>
      <c r="I16" s="81"/>
      <c r="J16" s="72"/>
      <c r="K16" s="78"/>
    </row>
    <row r="17" spans="1:11" x14ac:dyDescent="0.2">
      <c r="A17" s="78"/>
      <c r="B17" s="127" t="s">
        <v>55</v>
      </c>
      <c r="C17" s="128"/>
      <c r="D17" s="129"/>
      <c r="E17" s="78"/>
      <c r="F17" s="85" t="s">
        <v>241</v>
      </c>
      <c r="G17" s="70"/>
      <c r="H17" s="85" t="s">
        <v>208</v>
      </c>
      <c r="I17" s="84"/>
      <c r="J17" s="72"/>
      <c r="K17" s="78"/>
    </row>
    <row r="18" spans="1:11" ht="15" customHeight="1" x14ac:dyDescent="0.2">
      <c r="A18" s="78"/>
      <c r="B18" s="72"/>
      <c r="C18" s="84"/>
      <c r="D18" s="86"/>
      <c r="E18" s="78"/>
      <c r="F18" s="83"/>
      <c r="G18" s="78"/>
      <c r="H18" s="83"/>
      <c r="I18" s="84"/>
      <c r="J18" s="72"/>
      <c r="K18" s="78"/>
    </row>
    <row r="19" spans="1:11" x14ac:dyDescent="0.2">
      <c r="A19" s="78"/>
      <c r="B19" s="130" t="s">
        <v>207</v>
      </c>
      <c r="C19" s="131"/>
      <c r="D19" s="132"/>
      <c r="E19" s="78"/>
      <c r="F19" s="90" t="s">
        <v>242</v>
      </c>
      <c r="G19" s="78"/>
      <c r="H19" s="90" t="s">
        <v>244</v>
      </c>
      <c r="I19" s="89"/>
      <c r="J19" s="73"/>
      <c r="K19" s="78"/>
    </row>
    <row r="20" spans="1:11" ht="13.5" thickBot="1" x14ac:dyDescent="0.25">
      <c r="A20" s="78"/>
      <c r="B20" s="102"/>
      <c r="C20" s="103"/>
      <c r="D20" s="104"/>
      <c r="E20" s="78"/>
      <c r="F20" s="85"/>
      <c r="G20" s="78"/>
      <c r="H20" s="107"/>
      <c r="I20" s="91"/>
      <c r="J20" s="82"/>
      <c r="K20" s="78"/>
    </row>
    <row r="21" spans="1:11" ht="26.25" thickTop="1" x14ac:dyDescent="0.2">
      <c r="A21" s="78"/>
      <c r="B21" s="101"/>
      <c r="C21" s="101"/>
      <c r="D21" s="101"/>
      <c r="E21" s="78"/>
      <c r="F21" s="87" t="s">
        <v>243</v>
      </c>
      <c r="G21" s="78"/>
      <c r="H21" s="87" t="s">
        <v>245</v>
      </c>
      <c r="I21" s="96"/>
      <c r="J21" s="93"/>
      <c r="K21" s="78"/>
    </row>
    <row r="22" spans="1:11" ht="13.5" thickBot="1" x14ac:dyDescent="0.25">
      <c r="A22" s="78"/>
      <c r="B22" s="70"/>
      <c r="C22" s="70"/>
      <c r="D22" s="70"/>
      <c r="E22" s="78"/>
      <c r="F22" s="97"/>
      <c r="G22" s="78"/>
      <c r="H22" s="87" t="s">
        <v>246</v>
      </c>
      <c r="I22" s="96"/>
      <c r="J22" s="96"/>
      <c r="K22" s="71"/>
    </row>
    <row r="23" spans="1:11" ht="13.5" thickTop="1" x14ac:dyDescent="0.2">
      <c r="A23" s="78"/>
      <c r="B23" s="67"/>
      <c r="C23" s="67"/>
      <c r="D23" s="67"/>
      <c r="E23" s="78"/>
      <c r="F23" s="78"/>
      <c r="G23" s="78"/>
      <c r="H23" s="87" t="s">
        <v>247</v>
      </c>
      <c r="I23" s="96"/>
      <c r="J23" s="96"/>
      <c r="K23" s="78"/>
    </row>
    <row r="24" spans="1:11" x14ac:dyDescent="0.2">
      <c r="A24" s="78"/>
      <c r="B24" s="67"/>
      <c r="C24" s="67"/>
      <c r="D24" s="67"/>
      <c r="E24" s="78"/>
      <c r="F24" s="78"/>
      <c r="G24" s="78"/>
      <c r="H24" s="87" t="s">
        <v>248</v>
      </c>
      <c r="I24" s="96"/>
      <c r="J24" s="96"/>
      <c r="K24" s="78"/>
    </row>
    <row r="25" spans="1:11" ht="12.75" customHeight="1" thickBot="1" x14ac:dyDescent="0.25">
      <c r="A25" s="78"/>
      <c r="B25" s="67"/>
      <c r="C25" s="67"/>
      <c r="D25" s="67"/>
      <c r="E25" s="78"/>
      <c r="F25" s="78"/>
      <c r="G25" s="78"/>
      <c r="H25" s="97"/>
      <c r="I25" s="96"/>
      <c r="J25" s="96"/>
      <c r="K25" s="78"/>
    </row>
    <row r="26" spans="1:11" ht="12.75" customHeight="1" thickTop="1" x14ac:dyDescent="0.2">
      <c r="A26" s="78"/>
      <c r="B26" s="67"/>
      <c r="C26" s="67"/>
      <c r="D26" s="67"/>
      <c r="E26" s="78"/>
      <c r="G26" s="71"/>
      <c r="H26" s="106"/>
      <c r="I26" s="96"/>
      <c r="J26" s="96"/>
      <c r="K26" s="78"/>
    </row>
    <row r="27" spans="1:11" ht="13.5" thickBot="1" x14ac:dyDescent="0.25">
      <c r="A27" s="78"/>
      <c r="E27" s="78"/>
      <c r="G27" s="70"/>
      <c r="I27" s="103"/>
      <c r="J27" s="70"/>
      <c r="K27" s="78"/>
    </row>
    <row r="28" spans="1:11" ht="13.5" thickTop="1" x14ac:dyDescent="0.2">
      <c r="A28" s="78"/>
      <c r="E28" s="78"/>
      <c r="G28" s="71"/>
      <c r="K28" s="78"/>
    </row>
    <row r="29" spans="1:11" x14ac:dyDescent="0.2">
      <c r="A29" s="78"/>
      <c r="E29" s="78"/>
      <c r="G29" s="71"/>
      <c r="K29" s="78"/>
    </row>
    <row r="30" spans="1:11" x14ac:dyDescent="0.2">
      <c r="G30" s="66"/>
    </row>
    <row r="31" spans="1:11" x14ac:dyDescent="0.2">
      <c r="G31" s="66"/>
    </row>
    <row r="32" spans="1:11" x14ac:dyDescent="0.2">
      <c r="G32" s="66"/>
      <c r="H32" s="67"/>
    </row>
    <row r="33" spans="7:8" x14ac:dyDescent="0.2">
      <c r="G33" s="65"/>
      <c r="H33" s="67"/>
    </row>
    <row r="34" spans="7:8" x14ac:dyDescent="0.2">
      <c r="G34" s="65"/>
      <c r="H34" s="67"/>
    </row>
    <row r="35" spans="7:8" x14ac:dyDescent="0.2">
      <c r="G35" s="65"/>
      <c r="H35" s="66"/>
    </row>
    <row r="36" spans="7:8" x14ac:dyDescent="0.2">
      <c r="H36" s="66"/>
    </row>
    <row r="37" spans="7:8" x14ac:dyDescent="0.2">
      <c r="H37" s="66"/>
    </row>
    <row r="38" spans="7:8" x14ac:dyDescent="0.2">
      <c r="H38" s="68"/>
    </row>
    <row r="39" spans="7:8" x14ac:dyDescent="0.2">
      <c r="H39" s="66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H281"/>
  <sheetViews>
    <sheetView topLeftCell="A2" workbookViewId="0">
      <selection activeCell="F26" sqref="F2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34556.28</v>
      </c>
      <c r="C10" s="24">
        <v>39285.03</v>
      </c>
      <c r="D10" s="24">
        <f>SUM(B10:C10)</f>
        <v>73841.31</v>
      </c>
      <c r="E10" s="40"/>
      <c r="F10" s="24">
        <v>74971.94</v>
      </c>
      <c r="G10" s="6"/>
    </row>
    <row r="11" spans="1:8" x14ac:dyDescent="0.2">
      <c r="A11" s="23" t="s">
        <v>34</v>
      </c>
      <c r="B11" s="24">
        <v>13513.03</v>
      </c>
      <c r="C11" s="24">
        <v>11644.27</v>
      </c>
      <c r="D11" s="24">
        <f>SUM(B11:C11)</f>
        <v>25157.300000000003</v>
      </c>
      <c r="E11" s="40"/>
      <c r="F11" s="24">
        <v>24910.400000000001</v>
      </c>
      <c r="G11" s="6"/>
    </row>
    <row r="12" spans="1:8" x14ac:dyDescent="0.2">
      <c r="A12" s="38" t="s">
        <v>19</v>
      </c>
      <c r="B12" s="41">
        <f>SUM(B10:B11)</f>
        <v>48069.31</v>
      </c>
      <c r="C12" s="41">
        <f t="shared" ref="C12:D12" si="0">SUM(C10:C11)</f>
        <v>50929.3</v>
      </c>
      <c r="D12" s="41">
        <f t="shared" si="0"/>
        <v>98998.61</v>
      </c>
      <c r="E12" s="40">
        <f>SUM(D12/D29)*100</f>
        <v>93.941227644995109</v>
      </c>
      <c r="F12" s="27">
        <f>SUM(F10:F11)</f>
        <v>99882.34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</v>
      </c>
      <c r="B18" s="24">
        <v>120</v>
      </c>
      <c r="C18" s="24"/>
      <c r="D18" s="24">
        <f>SUM(B18:C18)</f>
        <v>120</v>
      </c>
      <c r="E18" s="40"/>
      <c r="F18" s="24">
        <v>0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120</v>
      </c>
      <c r="C20" s="41">
        <f>SUM(C18:C19)</f>
        <v>0</v>
      </c>
      <c r="D20" s="41">
        <f>SUM(D18:D19)</f>
        <v>120</v>
      </c>
      <c r="E20" s="40">
        <f>SUM(D20/D29)*100</f>
        <v>0.11386975349855329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2997.3</v>
      </c>
      <c r="C25" s="24">
        <v>3267.65</v>
      </c>
      <c r="D25" s="24">
        <f>SUM(B25:C25)</f>
        <v>6264.9500000000007</v>
      </c>
      <c r="E25" s="40"/>
      <c r="F25" s="24">
        <v>6494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2997.3</v>
      </c>
      <c r="C27" s="41">
        <f t="shared" ref="C27:D27" si="1">SUM(C25:C26)</f>
        <v>3267.65</v>
      </c>
      <c r="D27" s="41">
        <f t="shared" si="1"/>
        <v>6264.9500000000007</v>
      </c>
      <c r="E27" s="40">
        <f>SUM(D27/D29)*100</f>
        <v>5.944902601506346</v>
      </c>
      <c r="F27" s="27">
        <f>SUM(F25:F26)</f>
        <v>6494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51186.61</v>
      </c>
      <c r="C29" s="41">
        <f>SUM(C27,C23,C20,C16,C12)</f>
        <v>54196.950000000004</v>
      </c>
      <c r="D29" s="41">
        <f>SUM(B29:C29)</f>
        <v>105383.56</v>
      </c>
      <c r="E29" s="40">
        <f>SUM(E12:E27)</f>
        <v>100</v>
      </c>
      <c r="F29" s="27">
        <f>F27+F23+F20+F16+F12</f>
        <v>106376.34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-51186.61</v>
      </c>
      <c r="C33" s="27">
        <f t="shared" si="2"/>
        <v>-54196.950000000004</v>
      </c>
      <c r="D33" s="27">
        <f t="shared" si="2"/>
        <v>-105383.56</v>
      </c>
      <c r="E33" s="47">
        <f t="shared" si="2"/>
        <v>-100</v>
      </c>
      <c r="F33" s="27">
        <f t="shared" si="2"/>
        <v>-106376.34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H275"/>
  <sheetViews>
    <sheetView topLeftCell="A13" workbookViewId="0">
      <selection activeCell="A42" sqref="A42:XFD52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80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21740.04</v>
      </c>
      <c r="C10" s="24">
        <v>24638.05</v>
      </c>
      <c r="D10" s="24">
        <f>SUM(B10:C10)</f>
        <v>46378.09</v>
      </c>
      <c r="E10" s="40"/>
      <c r="F10" s="24">
        <v>47051.43</v>
      </c>
      <c r="G10" s="6"/>
    </row>
    <row r="11" spans="1:8" x14ac:dyDescent="0.2">
      <c r="A11" s="23" t="s">
        <v>34</v>
      </c>
      <c r="B11" s="24">
        <v>8641.2800000000007</v>
      </c>
      <c r="C11" s="24">
        <v>7294.54</v>
      </c>
      <c r="D11" s="24">
        <f>SUM(B11:C11)</f>
        <v>15935.82</v>
      </c>
      <c r="E11" s="40"/>
      <c r="F11" s="24">
        <v>16422.45</v>
      </c>
      <c r="G11" s="6"/>
    </row>
    <row r="12" spans="1:8" x14ac:dyDescent="0.2">
      <c r="A12" s="38" t="s">
        <v>19</v>
      </c>
      <c r="B12" s="41">
        <f>SUM(B10:B11)</f>
        <v>30381.32</v>
      </c>
      <c r="C12" s="41">
        <f t="shared" ref="C12:D12" si="0">SUM(C10:C11)</f>
        <v>31932.59</v>
      </c>
      <c r="D12" s="41">
        <f t="shared" si="0"/>
        <v>62313.909999999996</v>
      </c>
      <c r="E12" s="40">
        <f>SUM(D12/D29)*100</f>
        <v>93.166861530824917</v>
      </c>
      <c r="F12" s="27">
        <f>SUM(F10:F11)</f>
        <v>63473.880000000005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67</v>
      </c>
      <c r="B18" s="24">
        <v>6</v>
      </c>
      <c r="C18" s="24"/>
      <c r="D18" s="24">
        <f>SUM(B18:C18)</f>
        <v>6</v>
      </c>
      <c r="E18" s="40"/>
      <c r="F18" s="24">
        <v>192.39</v>
      </c>
      <c r="G18" s="6"/>
    </row>
    <row r="19" spans="1:7" x14ac:dyDescent="0.2">
      <c r="A19" s="23" t="s">
        <v>190</v>
      </c>
      <c r="B19" s="24">
        <v>628.53</v>
      </c>
      <c r="C19" s="24"/>
      <c r="D19" s="24">
        <f>SUM(B19:C19)</f>
        <v>628.53</v>
      </c>
      <c r="E19" s="40"/>
      <c r="F19" s="24">
        <f>949.84/2</f>
        <v>474.92</v>
      </c>
      <c r="G19" s="6"/>
    </row>
    <row r="20" spans="1:7" x14ac:dyDescent="0.2">
      <c r="A20" s="38" t="s">
        <v>25</v>
      </c>
      <c r="B20" s="41">
        <f>SUM(B18:B19)</f>
        <v>634.53</v>
      </c>
      <c r="C20" s="41">
        <f>SUM(C18:C19)</f>
        <v>0</v>
      </c>
      <c r="D20" s="41">
        <f>SUM(D18:D19)</f>
        <v>634.53</v>
      </c>
      <c r="E20" s="40">
        <f>SUM(D20/D29)*100</f>
        <v>0.9486993938777768</v>
      </c>
      <c r="F20" s="27">
        <f>SUM(F18:F19)</f>
        <v>667.31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1884.96</v>
      </c>
      <c r="C25" s="24">
        <v>2050.8000000000002</v>
      </c>
      <c r="D25" s="24">
        <f>SUM(B25:C25)</f>
        <v>3935.76</v>
      </c>
      <c r="E25" s="40"/>
      <c r="F25" s="24">
        <v>4079.75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1884.96</v>
      </c>
      <c r="C27" s="41">
        <f t="shared" ref="C27:D27" si="1">SUM(C25:C26)</f>
        <v>2050.8000000000002</v>
      </c>
      <c r="D27" s="41">
        <f t="shared" si="1"/>
        <v>3935.76</v>
      </c>
      <c r="E27" s="40">
        <f>SUM(D27/D29)*100</f>
        <v>5.8844390752973057</v>
      </c>
      <c r="F27" s="27">
        <f>SUM(F25:F26)</f>
        <v>4079.75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32900.81</v>
      </c>
      <c r="C29" s="41">
        <f>SUM(C27,C23,C20,C16,C12)</f>
        <v>33983.39</v>
      </c>
      <c r="D29" s="41">
        <f>SUM(B29:C29)</f>
        <v>66884.2</v>
      </c>
      <c r="E29" s="40">
        <f>SUM(E12:E27)</f>
        <v>100</v>
      </c>
      <c r="F29" s="27">
        <f>F27+F23+F20+F16+F12</f>
        <v>68220.94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140</v>
      </c>
      <c r="B32" s="41"/>
      <c r="C32" s="41"/>
      <c r="D32" s="41"/>
      <c r="E32" s="43"/>
      <c r="F32" s="24"/>
      <c r="G32" s="6"/>
    </row>
    <row r="33" spans="1:7" x14ac:dyDescent="0.2">
      <c r="A33" s="45" t="s">
        <v>151</v>
      </c>
      <c r="B33" s="24">
        <v>6305.5</v>
      </c>
      <c r="C33" s="24">
        <v>0</v>
      </c>
      <c r="D33" s="24">
        <f>SUM(B33:C33)</f>
        <v>6305.5</v>
      </c>
      <c r="E33" s="40"/>
      <c r="F33" s="24"/>
      <c r="G33" s="6"/>
    </row>
    <row r="34" spans="1:7" x14ac:dyDescent="0.2">
      <c r="A34" s="42" t="s">
        <v>131</v>
      </c>
      <c r="B34" s="41">
        <f>SUM(B33:B33)</f>
        <v>6305.5</v>
      </c>
      <c r="C34" s="41">
        <f>SUM(C33:C33)</f>
        <v>0</v>
      </c>
      <c r="D34" s="41">
        <f>SUM(D33:D33)</f>
        <v>6305.5</v>
      </c>
      <c r="E34" s="40">
        <f>(D34/D36)*100</f>
        <v>100</v>
      </c>
      <c r="F34" s="24"/>
      <c r="G34" s="6"/>
    </row>
    <row r="35" spans="1:7" x14ac:dyDescent="0.2">
      <c r="A35" s="44"/>
      <c r="B35" s="41"/>
      <c r="C35" s="41"/>
      <c r="D35" s="27"/>
      <c r="E35" s="51"/>
      <c r="F35" s="24"/>
      <c r="G35" s="6"/>
    </row>
    <row r="36" spans="1:7" x14ac:dyDescent="0.2">
      <c r="A36" s="44" t="s">
        <v>60</v>
      </c>
      <c r="B36" s="41">
        <f>B34</f>
        <v>6305.5</v>
      </c>
      <c r="C36" s="41">
        <f t="shared" ref="C36:D36" si="2">C34</f>
        <v>0</v>
      </c>
      <c r="D36" s="41">
        <f t="shared" si="2"/>
        <v>6305.5</v>
      </c>
      <c r="E36" s="49">
        <f>E20+E25+E31+E34</f>
        <v>100.94869939387777</v>
      </c>
      <c r="F36" s="41">
        <f>F34</f>
        <v>0</v>
      </c>
      <c r="G36" s="6"/>
    </row>
    <row r="37" spans="1:7" x14ac:dyDescent="0.2">
      <c r="A37" s="50"/>
      <c r="B37" s="52"/>
      <c r="C37" s="52"/>
      <c r="D37" s="52"/>
      <c r="E37" s="53"/>
      <c r="F37" s="50"/>
    </row>
    <row r="38" spans="1:7" x14ac:dyDescent="0.2">
      <c r="A38" s="23"/>
      <c r="B38" s="24"/>
      <c r="C38" s="24"/>
      <c r="D38" s="24"/>
      <c r="E38" s="40"/>
      <c r="F38" s="24"/>
      <c r="G38" s="6"/>
    </row>
    <row r="39" spans="1:7" x14ac:dyDescent="0.2">
      <c r="A39" s="26" t="s">
        <v>32</v>
      </c>
      <c r="B39" s="27">
        <f>B36-B29</f>
        <v>-26595.309999999998</v>
      </c>
      <c r="C39" s="27">
        <f t="shared" ref="C39:F39" si="3">C36-C29</f>
        <v>-33983.39</v>
      </c>
      <c r="D39" s="27">
        <f t="shared" si="3"/>
        <v>-60578.7</v>
      </c>
      <c r="E39" s="27"/>
      <c r="F39" s="27">
        <f t="shared" si="3"/>
        <v>-68220.94</v>
      </c>
      <c r="G39" s="6"/>
    </row>
    <row r="40" spans="1:7" x14ac:dyDescent="0.2">
      <c r="A40" s="7"/>
      <c r="B40" s="10"/>
      <c r="C40" s="10"/>
      <c r="D40" s="10"/>
      <c r="E40" s="4"/>
      <c r="F40" s="11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H277"/>
  <sheetViews>
    <sheetView topLeftCell="A16" workbookViewId="0">
      <selection activeCell="A42" sqref="A42:XFD51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81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42565.45</v>
      </c>
      <c r="C10" s="24">
        <v>46250.06</v>
      </c>
      <c r="D10" s="24">
        <f>SUM(B10:C10)</f>
        <v>88815.51</v>
      </c>
      <c r="E10" s="40"/>
      <c r="F10" s="24">
        <v>92122.47</v>
      </c>
      <c r="G10" s="6"/>
    </row>
    <row r="11" spans="1:8" x14ac:dyDescent="0.2">
      <c r="A11" s="23" t="s">
        <v>34</v>
      </c>
      <c r="B11" s="24">
        <v>17395.11</v>
      </c>
      <c r="C11" s="24">
        <v>16817.71</v>
      </c>
      <c r="D11" s="24">
        <f>SUM(B11:C11)</f>
        <v>34212.82</v>
      </c>
      <c r="E11" s="40"/>
      <c r="F11" s="24">
        <v>35643.14</v>
      </c>
      <c r="G11" s="6"/>
    </row>
    <row r="12" spans="1:8" x14ac:dyDescent="0.2">
      <c r="A12" s="38" t="s">
        <v>19</v>
      </c>
      <c r="B12" s="41">
        <f>SUM(B10:B11)</f>
        <v>59960.56</v>
      </c>
      <c r="C12" s="41">
        <f t="shared" ref="C12:D12" si="0">SUM(C10:C11)</f>
        <v>63067.77</v>
      </c>
      <c r="D12" s="41">
        <f t="shared" si="0"/>
        <v>123028.32999999999</v>
      </c>
      <c r="E12" s="40">
        <f>SUM(D12/D29)*100</f>
        <v>94.218520550798686</v>
      </c>
      <c r="F12" s="27">
        <f>SUM(F10:F11)</f>
        <v>127765.61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>
        <v>0</v>
      </c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3618.06</v>
      </c>
      <c r="C25" s="24">
        <v>3931.26</v>
      </c>
      <c r="D25" s="24">
        <f>SUM(B25:C25)</f>
        <v>7549.32</v>
      </c>
      <c r="E25" s="40"/>
      <c r="F25" s="24">
        <v>7830.41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3618.06</v>
      </c>
      <c r="C27" s="41">
        <f t="shared" ref="C27:D27" si="1">SUM(C25:C26)</f>
        <v>3931.26</v>
      </c>
      <c r="D27" s="41">
        <f t="shared" si="1"/>
        <v>7549.32</v>
      </c>
      <c r="E27" s="40">
        <f>SUM(D27/D29)*100</f>
        <v>5.7814794492012993</v>
      </c>
      <c r="F27" s="27">
        <f>SUM(F25:F26)</f>
        <v>7830.41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63578.619999999995</v>
      </c>
      <c r="C29" s="41">
        <f>SUM(C27,C23,C20,C16,C12)</f>
        <v>66999.03</v>
      </c>
      <c r="D29" s="41">
        <f>SUM(B29:C29)</f>
        <v>130577.65</v>
      </c>
      <c r="E29" s="40">
        <f>SUM(E12:E27)</f>
        <v>99.999999999999986</v>
      </c>
      <c r="F29" s="27">
        <f>F27+F23+F20+F16+F12</f>
        <v>135596.01999999999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132</v>
      </c>
      <c r="B32" s="41"/>
      <c r="C32" s="41"/>
      <c r="D32" s="41"/>
      <c r="E32" s="43"/>
      <c r="F32" s="24"/>
      <c r="G32" s="6"/>
    </row>
    <row r="33" spans="1:7" x14ac:dyDescent="0.2">
      <c r="A33" s="45" t="s">
        <v>152</v>
      </c>
      <c r="B33" s="24">
        <v>58217.63</v>
      </c>
      <c r="C33" s="24">
        <f>73039.18-B33</f>
        <v>14821.549999999996</v>
      </c>
      <c r="D33" s="24">
        <f>SUM(B33:C33)</f>
        <v>73039.179999999993</v>
      </c>
      <c r="E33" s="40"/>
      <c r="F33" s="24">
        <v>81471.88</v>
      </c>
      <c r="G33" s="6"/>
    </row>
    <row r="34" spans="1:7" x14ac:dyDescent="0.2">
      <c r="A34" s="45" t="s">
        <v>153</v>
      </c>
      <c r="B34" s="24">
        <v>34447.03</v>
      </c>
      <c r="C34" s="24">
        <f>40544.53-B34</f>
        <v>6097.5</v>
      </c>
      <c r="D34" s="24">
        <f>SUM(B34:C34)</f>
        <v>40544.53</v>
      </c>
      <c r="E34" s="40"/>
      <c r="F34" s="24">
        <v>56108.81</v>
      </c>
      <c r="G34" s="6"/>
    </row>
    <row r="35" spans="1:7" x14ac:dyDescent="0.2">
      <c r="A35" s="42" t="s">
        <v>131</v>
      </c>
      <c r="B35" s="41">
        <f>SUM(B33:B34)</f>
        <v>92664.66</v>
      </c>
      <c r="C35" s="41">
        <f t="shared" ref="C35" si="2">SUM(C33)</f>
        <v>14821.549999999996</v>
      </c>
      <c r="D35" s="41">
        <f>SUM(D33:D34)</f>
        <v>113583.70999999999</v>
      </c>
      <c r="E35" s="40">
        <f>(D35/D37)*100</f>
        <v>100</v>
      </c>
      <c r="F35" s="27">
        <f>SUM(F33:F34)</f>
        <v>137580.69</v>
      </c>
      <c r="G35" s="6"/>
    </row>
    <row r="36" spans="1:7" x14ac:dyDescent="0.2">
      <c r="A36" s="42"/>
      <c r="B36" s="41"/>
      <c r="C36" s="41"/>
      <c r="D36" s="41"/>
      <c r="E36" s="43"/>
      <c r="F36" s="24"/>
      <c r="G36" s="6"/>
    </row>
    <row r="37" spans="1:7" x14ac:dyDescent="0.2">
      <c r="A37" s="44" t="s">
        <v>60</v>
      </c>
      <c r="B37" s="41">
        <f>B35</f>
        <v>92664.66</v>
      </c>
      <c r="C37" s="41">
        <f t="shared" ref="C37:D37" si="3">C35</f>
        <v>14821.549999999996</v>
      </c>
      <c r="D37" s="41">
        <f t="shared" si="3"/>
        <v>113583.70999999999</v>
      </c>
      <c r="E37" s="49">
        <f>E35</f>
        <v>100</v>
      </c>
      <c r="F37" s="41">
        <f>F35</f>
        <v>137580.69</v>
      </c>
      <c r="G37" s="6"/>
    </row>
    <row r="38" spans="1:7" x14ac:dyDescent="0.2">
      <c r="A38" s="23"/>
      <c r="B38" s="24"/>
      <c r="C38" s="24"/>
      <c r="D38" s="24"/>
      <c r="E38" s="40"/>
      <c r="F38" s="24"/>
      <c r="G38" s="6"/>
    </row>
    <row r="39" spans="1:7" x14ac:dyDescent="0.2">
      <c r="A39" s="26" t="s">
        <v>32</v>
      </c>
      <c r="B39" s="27">
        <f>B37-B29</f>
        <v>29086.040000000008</v>
      </c>
      <c r="C39" s="27">
        <f t="shared" ref="C39:D39" si="4">C37-C29</f>
        <v>-52177.48</v>
      </c>
      <c r="D39" s="27">
        <f t="shared" si="4"/>
        <v>-16993.940000000002</v>
      </c>
      <c r="E39" s="27">
        <f>E37-E29</f>
        <v>0</v>
      </c>
      <c r="F39" s="27">
        <f>F37-F29</f>
        <v>1984.6700000000128</v>
      </c>
      <c r="G39" s="6"/>
    </row>
    <row r="40" spans="1:7" x14ac:dyDescent="0.2">
      <c r="A40" s="7"/>
      <c r="B40" s="10"/>
      <c r="C40" s="10"/>
      <c r="D40" s="10"/>
      <c r="E40" s="4"/>
      <c r="F40" s="11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3:K44"/>
  <sheetViews>
    <sheetView topLeftCell="A34" workbookViewId="0">
      <selection activeCell="L64" sqref="L64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9.28515625" style="21" bestFit="1" customWidth="1"/>
    <col min="4" max="4" width="10.7109375" style="21" customWidth="1"/>
    <col min="5" max="7" width="9.28515625" style="21" bestFit="1" customWidth="1"/>
    <col min="8" max="8" width="11" style="21" bestFit="1" customWidth="1"/>
    <col min="9" max="9" width="10" style="21" bestFit="1" customWidth="1"/>
    <col min="10" max="10" width="11" style="21" bestFit="1" customWidth="1"/>
    <col min="11" max="16384" width="9.140625" style="21"/>
  </cols>
  <sheetData>
    <row r="3" spans="1:11" ht="23.25" x14ac:dyDescent="0.35">
      <c r="A3" s="140" t="s">
        <v>46</v>
      </c>
      <c r="B3" s="140"/>
      <c r="C3" s="140"/>
      <c r="D3" s="140"/>
      <c r="E3" s="140"/>
      <c r="F3" s="140"/>
      <c r="G3" s="140"/>
      <c r="H3" s="140"/>
      <c r="I3" s="140"/>
      <c r="J3" s="140"/>
    </row>
    <row r="5" spans="1:11" ht="18.75" x14ac:dyDescent="0.3">
      <c r="A5" s="28" t="s">
        <v>54</v>
      </c>
      <c r="B5" s="139" t="s">
        <v>47</v>
      </c>
      <c r="C5" s="139"/>
      <c r="D5" s="23"/>
      <c r="E5" s="151" t="s">
        <v>75</v>
      </c>
      <c r="F5" s="151"/>
      <c r="G5" s="151"/>
      <c r="H5" s="151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37" t="s">
        <v>59</v>
      </c>
      <c r="I7" s="137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55</v>
      </c>
      <c r="B9" s="24">
        <f>'011'!B12</f>
        <v>48069.31</v>
      </c>
      <c r="C9" s="24">
        <f>'011'!B16</f>
        <v>0</v>
      </c>
      <c r="D9" s="24">
        <f>'011'!B20</f>
        <v>120</v>
      </c>
      <c r="E9" s="24">
        <f>0</f>
        <v>0</v>
      </c>
      <c r="F9" s="24">
        <f>'011'!B23</f>
        <v>0</v>
      </c>
      <c r="G9" s="24">
        <f>'011'!B27</f>
        <v>2997.3</v>
      </c>
      <c r="H9" s="24">
        <f>SUM(B9:G9)</f>
        <v>51186.61</v>
      </c>
      <c r="I9" s="24">
        <v>0</v>
      </c>
      <c r="J9" s="24">
        <f>I9-H9</f>
        <v>-51186.61</v>
      </c>
    </row>
    <row r="10" spans="1:11" x14ac:dyDescent="0.2">
      <c r="A10" s="23" t="s">
        <v>80</v>
      </c>
      <c r="B10" s="24">
        <f>'013'!B12</f>
        <v>30381.32</v>
      </c>
      <c r="C10" s="24">
        <f>'013'!B16</f>
        <v>0</v>
      </c>
      <c r="D10" s="24">
        <f>'013'!B20</f>
        <v>634.53</v>
      </c>
      <c r="E10" s="24">
        <v>0</v>
      </c>
      <c r="F10" s="24">
        <f>'013'!B23</f>
        <v>0</v>
      </c>
      <c r="G10" s="24">
        <f>'013'!B27</f>
        <v>1884.96</v>
      </c>
      <c r="H10" s="24">
        <f>SUM(B10:G10)</f>
        <v>32900.81</v>
      </c>
      <c r="I10" s="24">
        <f>'013'!B36</f>
        <v>6305.5</v>
      </c>
      <c r="J10" s="24">
        <f t="shared" ref="J10:J12" si="0">I10-H10</f>
        <v>-26595.309999999998</v>
      </c>
    </row>
    <row r="11" spans="1:11" x14ac:dyDescent="0.2">
      <c r="A11" s="23" t="s">
        <v>81</v>
      </c>
      <c r="B11" s="24">
        <f>'014'!B12</f>
        <v>59960.56</v>
      </c>
      <c r="C11" s="24">
        <f>'014'!B16</f>
        <v>0</v>
      </c>
      <c r="D11" s="24">
        <f>'014'!B20</f>
        <v>0</v>
      </c>
      <c r="E11" s="24">
        <v>0</v>
      </c>
      <c r="F11" s="24">
        <f>'014'!B23</f>
        <v>0</v>
      </c>
      <c r="G11" s="24">
        <f>'014'!B27</f>
        <v>3618.06</v>
      </c>
      <c r="H11" s="24">
        <f>SUM(B11:G11)</f>
        <v>63578.619999999995</v>
      </c>
      <c r="I11" s="24">
        <f>'014'!B37</f>
        <v>92664.66</v>
      </c>
      <c r="J11" s="24">
        <f t="shared" si="0"/>
        <v>29086.040000000008</v>
      </c>
    </row>
    <row r="12" spans="1:11" x14ac:dyDescent="0.2">
      <c r="A12" s="26" t="s">
        <v>53</v>
      </c>
      <c r="B12" s="27">
        <f>SUM(B9:B11)</f>
        <v>138411.19</v>
      </c>
      <c r="C12" s="27">
        <f t="shared" ref="C12:F12" si="1">SUM(C9:C11)</f>
        <v>0</v>
      </c>
      <c r="D12" s="27">
        <f t="shared" si="1"/>
        <v>754.53</v>
      </c>
      <c r="E12" s="27">
        <f t="shared" si="1"/>
        <v>0</v>
      </c>
      <c r="F12" s="27">
        <f t="shared" si="1"/>
        <v>0</v>
      </c>
      <c r="G12" s="27">
        <f>SUM(G9:G11)</f>
        <v>8500.32</v>
      </c>
      <c r="H12" s="27">
        <f>SUM(H9:H11)</f>
        <v>147666.03999999998</v>
      </c>
      <c r="I12" s="27">
        <f>SUM(I9:I11)</f>
        <v>98970.16</v>
      </c>
      <c r="J12" s="27">
        <f t="shared" si="0"/>
        <v>-48695.879999999976</v>
      </c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</row>
    <row r="19" spans="1:11" x14ac:dyDescent="0.2">
      <c r="A19" s="6"/>
    </row>
    <row r="37" spans="1:10" ht="18.75" x14ac:dyDescent="0.3">
      <c r="A37" s="28" t="s">
        <v>286</v>
      </c>
      <c r="B37" s="139" t="s">
        <v>47</v>
      </c>
      <c r="C37" s="139"/>
      <c r="D37" s="23"/>
      <c r="E37" s="151" t="s">
        <v>75</v>
      </c>
      <c r="F37" s="151"/>
      <c r="G37" s="151"/>
      <c r="H37" s="151"/>
    </row>
    <row r="38" spans="1:10" x14ac:dyDescent="0.2">
      <c r="B38" s="6"/>
      <c r="C38" s="7"/>
      <c r="D38" s="6"/>
      <c r="E38" s="6"/>
      <c r="F38" s="6"/>
      <c r="G38" s="6"/>
      <c r="H38" s="29" t="s">
        <v>63</v>
      </c>
      <c r="I38" s="29" t="s">
        <v>62</v>
      </c>
      <c r="J38" s="6"/>
    </row>
    <row r="39" spans="1:10" x14ac:dyDescent="0.2">
      <c r="A39" s="23"/>
      <c r="B39" s="23"/>
      <c r="C39" s="138" t="s">
        <v>56</v>
      </c>
      <c r="D39" s="138" t="s">
        <v>57</v>
      </c>
      <c r="E39" s="138" t="s">
        <v>58</v>
      </c>
      <c r="F39" s="138" t="s">
        <v>64</v>
      </c>
      <c r="G39" s="138" t="s">
        <v>2</v>
      </c>
      <c r="H39" s="137" t="s">
        <v>59</v>
      </c>
      <c r="I39" s="137" t="s">
        <v>60</v>
      </c>
      <c r="J39" s="138" t="s">
        <v>61</v>
      </c>
    </row>
    <row r="40" spans="1:10" x14ac:dyDescent="0.2">
      <c r="A40" s="23"/>
      <c r="B40" s="23" t="s">
        <v>49</v>
      </c>
      <c r="C40" s="138"/>
      <c r="D40" s="138"/>
      <c r="E40" s="138"/>
      <c r="F40" s="138"/>
      <c r="G40" s="138"/>
      <c r="H40" s="137"/>
      <c r="I40" s="137"/>
      <c r="J40" s="138"/>
    </row>
    <row r="41" spans="1:10" x14ac:dyDescent="0.2">
      <c r="A41" s="23" t="s">
        <v>55</v>
      </c>
      <c r="B41" s="24">
        <f>'011'!C12</f>
        <v>50929.3</v>
      </c>
      <c r="C41" s="24">
        <f>'011'!C16</f>
        <v>0</v>
      </c>
      <c r="D41" s="24">
        <f>'011'!C20</f>
        <v>0</v>
      </c>
      <c r="E41" s="24">
        <f>0</f>
        <v>0</v>
      </c>
      <c r="F41" s="24">
        <f>'011'!C23</f>
        <v>0</v>
      </c>
      <c r="G41" s="24">
        <f>'011'!C27</f>
        <v>3267.65</v>
      </c>
      <c r="H41" s="24">
        <f>SUM(B41:G41)</f>
        <v>54196.950000000004</v>
      </c>
      <c r="I41" s="24">
        <v>0</v>
      </c>
      <c r="J41" s="24">
        <f>I41-H41</f>
        <v>-54196.950000000004</v>
      </c>
    </row>
    <row r="42" spans="1:10" x14ac:dyDescent="0.2">
      <c r="A42" s="23" t="s">
        <v>80</v>
      </c>
      <c r="B42" s="24">
        <f>'013'!C12</f>
        <v>31932.59</v>
      </c>
      <c r="C42" s="24">
        <f>'013'!C16</f>
        <v>0</v>
      </c>
      <c r="D42" s="24">
        <f>'013'!C20</f>
        <v>0</v>
      </c>
      <c r="E42" s="24">
        <v>0</v>
      </c>
      <c r="F42" s="24">
        <f>'013'!C23</f>
        <v>0</v>
      </c>
      <c r="G42" s="24">
        <f>'013'!C27</f>
        <v>2050.8000000000002</v>
      </c>
      <c r="H42" s="24">
        <f>SUM(B42:G42)</f>
        <v>33983.39</v>
      </c>
      <c r="I42" s="24">
        <f>'013'!C36</f>
        <v>0</v>
      </c>
      <c r="J42" s="24">
        <f t="shared" ref="J42:J44" si="2">I42-H42</f>
        <v>-33983.39</v>
      </c>
    </row>
    <row r="43" spans="1:10" x14ac:dyDescent="0.2">
      <c r="A43" s="23" t="s">
        <v>81</v>
      </c>
      <c r="B43" s="24">
        <f>'014'!C12</f>
        <v>63067.77</v>
      </c>
      <c r="C43" s="24">
        <f>'014'!C16</f>
        <v>0</v>
      </c>
      <c r="D43" s="24">
        <f>'014'!C20</f>
        <v>0</v>
      </c>
      <c r="E43" s="24">
        <v>0</v>
      </c>
      <c r="F43" s="24">
        <f>'014'!C23</f>
        <v>0</v>
      </c>
      <c r="G43" s="24">
        <f>'014'!C27</f>
        <v>3931.26</v>
      </c>
      <c r="H43" s="24">
        <f>SUM(B43:G43)</f>
        <v>66999.03</v>
      </c>
      <c r="I43" s="24">
        <f>'014'!C37</f>
        <v>14821.549999999996</v>
      </c>
      <c r="J43" s="24">
        <f t="shared" si="2"/>
        <v>-52177.48</v>
      </c>
    </row>
    <row r="44" spans="1:10" x14ac:dyDescent="0.2">
      <c r="A44" s="26" t="s">
        <v>53</v>
      </c>
      <c r="B44" s="27">
        <f>SUM(B41:B43)</f>
        <v>145929.66</v>
      </c>
      <c r="C44" s="27">
        <f t="shared" ref="C44:F44" si="3">SUM(C41:C43)</f>
        <v>0</v>
      </c>
      <c r="D44" s="27">
        <f t="shared" si="3"/>
        <v>0</v>
      </c>
      <c r="E44" s="27">
        <f t="shared" si="3"/>
        <v>0</v>
      </c>
      <c r="F44" s="27">
        <f t="shared" si="3"/>
        <v>0</v>
      </c>
      <c r="G44" s="27">
        <f>SUM(G41:G43)</f>
        <v>9249.7100000000009</v>
      </c>
      <c r="H44" s="27">
        <f>SUM(H41:H43)</f>
        <v>155179.37</v>
      </c>
      <c r="I44" s="27">
        <f>SUM(I41:I43)</f>
        <v>14821.549999999996</v>
      </c>
      <c r="J44" s="27">
        <f t="shared" si="2"/>
        <v>-140357.82</v>
      </c>
    </row>
  </sheetData>
  <mergeCells count="21">
    <mergeCell ref="A3:J3"/>
    <mergeCell ref="I7:I8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39:I40"/>
    <mergeCell ref="J39:J40"/>
    <mergeCell ref="B37:C37"/>
    <mergeCell ref="E37:H37"/>
    <mergeCell ref="C39:C40"/>
    <mergeCell ref="D39:D40"/>
    <mergeCell ref="E39:E40"/>
    <mergeCell ref="F39:F40"/>
    <mergeCell ref="G39:G40"/>
    <mergeCell ref="H39:H40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5"/>
  <sheetViews>
    <sheetView zoomScale="85" workbookViewId="0">
      <selection sqref="A1:K32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27.7109375" style="64" customWidth="1"/>
    <col min="9" max="9" width="0" style="64" hidden="1" customWidth="1"/>
    <col min="10" max="10" width="2.85546875" style="64" customWidth="1"/>
    <col min="11" max="11" width="21.7109375" style="64" customWidth="1"/>
    <col min="12" max="12" width="2.85546875" style="64" customWidth="1"/>
    <col min="13" max="247" width="9.140625" style="64"/>
    <col min="248" max="248" width="2" style="64" customWidth="1"/>
    <col min="249" max="250" width="9.140625" style="64"/>
    <col min="251" max="251" width="7.28515625" style="64" customWidth="1"/>
    <col min="252" max="252" width="2.85546875" style="64" customWidth="1"/>
    <col min="253" max="253" width="9.140625" style="64"/>
    <col min="254" max="254" width="10.5703125" style="64" customWidth="1"/>
    <col min="255" max="255" width="7.85546875" style="64" customWidth="1"/>
    <col min="256" max="256" width="2.85546875" style="64" customWidth="1"/>
    <col min="257" max="257" width="21" style="64" customWidth="1"/>
    <col min="258" max="258" width="23.5703125" style="64" customWidth="1"/>
    <col min="259" max="259" width="12.140625" style="64" customWidth="1"/>
    <col min="260" max="260" width="3.28515625" style="64" customWidth="1"/>
    <col min="261" max="261" width="26.85546875" style="64" customWidth="1"/>
    <col min="262" max="262" width="0" style="64" hidden="1" customWidth="1"/>
    <col min="263" max="263" width="2.140625" style="64" customWidth="1"/>
    <col min="264" max="503" width="9.140625" style="64"/>
    <col min="504" max="504" width="2" style="64" customWidth="1"/>
    <col min="505" max="506" width="9.140625" style="64"/>
    <col min="507" max="507" width="7.28515625" style="64" customWidth="1"/>
    <col min="508" max="508" width="2.85546875" style="64" customWidth="1"/>
    <col min="509" max="509" width="9.140625" style="64"/>
    <col min="510" max="510" width="10.5703125" style="64" customWidth="1"/>
    <col min="511" max="511" width="7.85546875" style="64" customWidth="1"/>
    <col min="512" max="512" width="2.85546875" style="64" customWidth="1"/>
    <col min="513" max="513" width="21" style="64" customWidth="1"/>
    <col min="514" max="514" width="23.5703125" style="64" customWidth="1"/>
    <col min="515" max="515" width="12.140625" style="64" customWidth="1"/>
    <col min="516" max="516" width="3.28515625" style="64" customWidth="1"/>
    <col min="517" max="517" width="26.85546875" style="64" customWidth="1"/>
    <col min="518" max="518" width="0" style="64" hidden="1" customWidth="1"/>
    <col min="519" max="519" width="2.140625" style="64" customWidth="1"/>
    <col min="520" max="759" width="9.140625" style="64"/>
    <col min="760" max="760" width="2" style="64" customWidth="1"/>
    <col min="761" max="762" width="9.140625" style="64"/>
    <col min="763" max="763" width="7.28515625" style="64" customWidth="1"/>
    <col min="764" max="764" width="2.85546875" style="64" customWidth="1"/>
    <col min="765" max="765" width="9.140625" style="64"/>
    <col min="766" max="766" width="10.5703125" style="64" customWidth="1"/>
    <col min="767" max="767" width="7.85546875" style="64" customWidth="1"/>
    <col min="768" max="768" width="2.85546875" style="64" customWidth="1"/>
    <col min="769" max="769" width="21" style="64" customWidth="1"/>
    <col min="770" max="770" width="23.5703125" style="64" customWidth="1"/>
    <col min="771" max="771" width="12.140625" style="64" customWidth="1"/>
    <col min="772" max="772" width="3.28515625" style="64" customWidth="1"/>
    <col min="773" max="773" width="26.85546875" style="64" customWidth="1"/>
    <col min="774" max="774" width="0" style="64" hidden="1" customWidth="1"/>
    <col min="775" max="775" width="2.140625" style="64" customWidth="1"/>
    <col min="776" max="1015" width="9.140625" style="64"/>
    <col min="1016" max="1016" width="2" style="64" customWidth="1"/>
    <col min="1017" max="1018" width="9.140625" style="64"/>
    <col min="1019" max="1019" width="7.28515625" style="64" customWidth="1"/>
    <col min="1020" max="1020" width="2.85546875" style="64" customWidth="1"/>
    <col min="1021" max="1021" width="9.140625" style="64"/>
    <col min="1022" max="1022" width="10.5703125" style="64" customWidth="1"/>
    <col min="1023" max="1023" width="7.85546875" style="64" customWidth="1"/>
    <col min="1024" max="1024" width="2.85546875" style="64" customWidth="1"/>
    <col min="1025" max="1025" width="21" style="64" customWidth="1"/>
    <col min="1026" max="1026" width="23.5703125" style="64" customWidth="1"/>
    <col min="1027" max="1027" width="12.140625" style="64" customWidth="1"/>
    <col min="1028" max="1028" width="3.28515625" style="64" customWidth="1"/>
    <col min="1029" max="1029" width="26.85546875" style="64" customWidth="1"/>
    <col min="1030" max="1030" width="0" style="64" hidden="1" customWidth="1"/>
    <col min="1031" max="1031" width="2.140625" style="64" customWidth="1"/>
    <col min="1032" max="1271" width="9.140625" style="64"/>
    <col min="1272" max="1272" width="2" style="64" customWidth="1"/>
    <col min="1273" max="1274" width="9.140625" style="64"/>
    <col min="1275" max="1275" width="7.28515625" style="64" customWidth="1"/>
    <col min="1276" max="1276" width="2.85546875" style="64" customWidth="1"/>
    <col min="1277" max="1277" width="9.140625" style="64"/>
    <col min="1278" max="1278" width="10.5703125" style="64" customWidth="1"/>
    <col min="1279" max="1279" width="7.85546875" style="64" customWidth="1"/>
    <col min="1280" max="1280" width="2.85546875" style="64" customWidth="1"/>
    <col min="1281" max="1281" width="21" style="64" customWidth="1"/>
    <col min="1282" max="1282" width="23.5703125" style="64" customWidth="1"/>
    <col min="1283" max="1283" width="12.140625" style="64" customWidth="1"/>
    <col min="1284" max="1284" width="3.28515625" style="64" customWidth="1"/>
    <col min="1285" max="1285" width="26.85546875" style="64" customWidth="1"/>
    <col min="1286" max="1286" width="0" style="64" hidden="1" customWidth="1"/>
    <col min="1287" max="1287" width="2.140625" style="64" customWidth="1"/>
    <col min="1288" max="1527" width="9.140625" style="64"/>
    <col min="1528" max="1528" width="2" style="64" customWidth="1"/>
    <col min="1529" max="1530" width="9.140625" style="64"/>
    <col min="1531" max="1531" width="7.28515625" style="64" customWidth="1"/>
    <col min="1532" max="1532" width="2.85546875" style="64" customWidth="1"/>
    <col min="1533" max="1533" width="9.140625" style="64"/>
    <col min="1534" max="1534" width="10.5703125" style="64" customWidth="1"/>
    <col min="1535" max="1535" width="7.85546875" style="64" customWidth="1"/>
    <col min="1536" max="1536" width="2.85546875" style="64" customWidth="1"/>
    <col min="1537" max="1537" width="21" style="64" customWidth="1"/>
    <col min="1538" max="1538" width="23.5703125" style="64" customWidth="1"/>
    <col min="1539" max="1539" width="12.140625" style="64" customWidth="1"/>
    <col min="1540" max="1540" width="3.28515625" style="64" customWidth="1"/>
    <col min="1541" max="1541" width="26.85546875" style="64" customWidth="1"/>
    <col min="1542" max="1542" width="0" style="64" hidden="1" customWidth="1"/>
    <col min="1543" max="1543" width="2.140625" style="64" customWidth="1"/>
    <col min="1544" max="1783" width="9.140625" style="64"/>
    <col min="1784" max="1784" width="2" style="64" customWidth="1"/>
    <col min="1785" max="1786" width="9.140625" style="64"/>
    <col min="1787" max="1787" width="7.28515625" style="64" customWidth="1"/>
    <col min="1788" max="1788" width="2.85546875" style="64" customWidth="1"/>
    <col min="1789" max="1789" width="9.140625" style="64"/>
    <col min="1790" max="1790" width="10.5703125" style="64" customWidth="1"/>
    <col min="1791" max="1791" width="7.85546875" style="64" customWidth="1"/>
    <col min="1792" max="1792" width="2.85546875" style="64" customWidth="1"/>
    <col min="1793" max="1793" width="21" style="64" customWidth="1"/>
    <col min="1794" max="1794" width="23.5703125" style="64" customWidth="1"/>
    <col min="1795" max="1795" width="12.140625" style="64" customWidth="1"/>
    <col min="1796" max="1796" width="3.28515625" style="64" customWidth="1"/>
    <col min="1797" max="1797" width="26.85546875" style="64" customWidth="1"/>
    <col min="1798" max="1798" width="0" style="64" hidden="1" customWidth="1"/>
    <col min="1799" max="1799" width="2.140625" style="64" customWidth="1"/>
    <col min="1800" max="2039" width="9.140625" style="64"/>
    <col min="2040" max="2040" width="2" style="64" customWidth="1"/>
    <col min="2041" max="2042" width="9.140625" style="64"/>
    <col min="2043" max="2043" width="7.28515625" style="64" customWidth="1"/>
    <col min="2044" max="2044" width="2.85546875" style="64" customWidth="1"/>
    <col min="2045" max="2045" width="9.140625" style="64"/>
    <col min="2046" max="2046" width="10.5703125" style="64" customWidth="1"/>
    <col min="2047" max="2047" width="7.85546875" style="64" customWidth="1"/>
    <col min="2048" max="2048" width="2.85546875" style="64" customWidth="1"/>
    <col min="2049" max="2049" width="21" style="64" customWidth="1"/>
    <col min="2050" max="2050" width="23.5703125" style="64" customWidth="1"/>
    <col min="2051" max="2051" width="12.140625" style="64" customWidth="1"/>
    <col min="2052" max="2052" width="3.28515625" style="64" customWidth="1"/>
    <col min="2053" max="2053" width="26.85546875" style="64" customWidth="1"/>
    <col min="2054" max="2054" width="0" style="64" hidden="1" customWidth="1"/>
    <col min="2055" max="2055" width="2.140625" style="64" customWidth="1"/>
    <col min="2056" max="2295" width="9.140625" style="64"/>
    <col min="2296" max="2296" width="2" style="64" customWidth="1"/>
    <col min="2297" max="2298" width="9.140625" style="64"/>
    <col min="2299" max="2299" width="7.28515625" style="64" customWidth="1"/>
    <col min="2300" max="2300" width="2.85546875" style="64" customWidth="1"/>
    <col min="2301" max="2301" width="9.140625" style="64"/>
    <col min="2302" max="2302" width="10.5703125" style="64" customWidth="1"/>
    <col min="2303" max="2303" width="7.85546875" style="64" customWidth="1"/>
    <col min="2304" max="2304" width="2.85546875" style="64" customWidth="1"/>
    <col min="2305" max="2305" width="21" style="64" customWidth="1"/>
    <col min="2306" max="2306" width="23.5703125" style="64" customWidth="1"/>
    <col min="2307" max="2307" width="12.140625" style="64" customWidth="1"/>
    <col min="2308" max="2308" width="3.28515625" style="64" customWidth="1"/>
    <col min="2309" max="2309" width="26.85546875" style="64" customWidth="1"/>
    <col min="2310" max="2310" width="0" style="64" hidden="1" customWidth="1"/>
    <col min="2311" max="2311" width="2.140625" style="64" customWidth="1"/>
    <col min="2312" max="2551" width="9.140625" style="64"/>
    <col min="2552" max="2552" width="2" style="64" customWidth="1"/>
    <col min="2553" max="2554" width="9.140625" style="64"/>
    <col min="2555" max="2555" width="7.28515625" style="64" customWidth="1"/>
    <col min="2556" max="2556" width="2.85546875" style="64" customWidth="1"/>
    <col min="2557" max="2557" width="9.140625" style="64"/>
    <col min="2558" max="2558" width="10.5703125" style="64" customWidth="1"/>
    <col min="2559" max="2559" width="7.85546875" style="64" customWidth="1"/>
    <col min="2560" max="2560" width="2.85546875" style="64" customWidth="1"/>
    <col min="2561" max="2561" width="21" style="64" customWidth="1"/>
    <col min="2562" max="2562" width="23.5703125" style="64" customWidth="1"/>
    <col min="2563" max="2563" width="12.140625" style="64" customWidth="1"/>
    <col min="2564" max="2564" width="3.28515625" style="64" customWidth="1"/>
    <col min="2565" max="2565" width="26.85546875" style="64" customWidth="1"/>
    <col min="2566" max="2566" width="0" style="64" hidden="1" customWidth="1"/>
    <col min="2567" max="2567" width="2.140625" style="64" customWidth="1"/>
    <col min="2568" max="2807" width="9.140625" style="64"/>
    <col min="2808" max="2808" width="2" style="64" customWidth="1"/>
    <col min="2809" max="2810" width="9.140625" style="64"/>
    <col min="2811" max="2811" width="7.28515625" style="64" customWidth="1"/>
    <col min="2812" max="2812" width="2.85546875" style="64" customWidth="1"/>
    <col min="2813" max="2813" width="9.140625" style="64"/>
    <col min="2814" max="2814" width="10.5703125" style="64" customWidth="1"/>
    <col min="2815" max="2815" width="7.85546875" style="64" customWidth="1"/>
    <col min="2816" max="2816" width="2.85546875" style="64" customWidth="1"/>
    <col min="2817" max="2817" width="21" style="64" customWidth="1"/>
    <col min="2818" max="2818" width="23.5703125" style="64" customWidth="1"/>
    <col min="2819" max="2819" width="12.140625" style="64" customWidth="1"/>
    <col min="2820" max="2820" width="3.28515625" style="64" customWidth="1"/>
    <col min="2821" max="2821" width="26.85546875" style="64" customWidth="1"/>
    <col min="2822" max="2822" width="0" style="64" hidden="1" customWidth="1"/>
    <col min="2823" max="2823" width="2.140625" style="64" customWidth="1"/>
    <col min="2824" max="3063" width="9.140625" style="64"/>
    <col min="3064" max="3064" width="2" style="64" customWidth="1"/>
    <col min="3065" max="3066" width="9.140625" style="64"/>
    <col min="3067" max="3067" width="7.28515625" style="64" customWidth="1"/>
    <col min="3068" max="3068" width="2.85546875" style="64" customWidth="1"/>
    <col min="3069" max="3069" width="9.140625" style="64"/>
    <col min="3070" max="3070" width="10.5703125" style="64" customWidth="1"/>
    <col min="3071" max="3071" width="7.85546875" style="64" customWidth="1"/>
    <col min="3072" max="3072" width="2.85546875" style="64" customWidth="1"/>
    <col min="3073" max="3073" width="21" style="64" customWidth="1"/>
    <col min="3074" max="3074" width="23.5703125" style="64" customWidth="1"/>
    <col min="3075" max="3075" width="12.140625" style="64" customWidth="1"/>
    <col min="3076" max="3076" width="3.28515625" style="64" customWidth="1"/>
    <col min="3077" max="3077" width="26.85546875" style="64" customWidth="1"/>
    <col min="3078" max="3078" width="0" style="64" hidden="1" customWidth="1"/>
    <col min="3079" max="3079" width="2.140625" style="64" customWidth="1"/>
    <col min="3080" max="3319" width="9.140625" style="64"/>
    <col min="3320" max="3320" width="2" style="64" customWidth="1"/>
    <col min="3321" max="3322" width="9.140625" style="64"/>
    <col min="3323" max="3323" width="7.28515625" style="64" customWidth="1"/>
    <col min="3324" max="3324" width="2.85546875" style="64" customWidth="1"/>
    <col min="3325" max="3325" width="9.140625" style="64"/>
    <col min="3326" max="3326" width="10.5703125" style="64" customWidth="1"/>
    <col min="3327" max="3327" width="7.85546875" style="64" customWidth="1"/>
    <col min="3328" max="3328" width="2.85546875" style="64" customWidth="1"/>
    <col min="3329" max="3329" width="21" style="64" customWidth="1"/>
    <col min="3330" max="3330" width="23.5703125" style="64" customWidth="1"/>
    <col min="3331" max="3331" width="12.140625" style="64" customWidth="1"/>
    <col min="3332" max="3332" width="3.28515625" style="64" customWidth="1"/>
    <col min="3333" max="3333" width="26.85546875" style="64" customWidth="1"/>
    <col min="3334" max="3334" width="0" style="64" hidden="1" customWidth="1"/>
    <col min="3335" max="3335" width="2.140625" style="64" customWidth="1"/>
    <col min="3336" max="3575" width="9.140625" style="64"/>
    <col min="3576" max="3576" width="2" style="64" customWidth="1"/>
    <col min="3577" max="3578" width="9.140625" style="64"/>
    <col min="3579" max="3579" width="7.28515625" style="64" customWidth="1"/>
    <col min="3580" max="3580" width="2.85546875" style="64" customWidth="1"/>
    <col min="3581" max="3581" width="9.140625" style="64"/>
    <col min="3582" max="3582" width="10.5703125" style="64" customWidth="1"/>
    <col min="3583" max="3583" width="7.85546875" style="64" customWidth="1"/>
    <col min="3584" max="3584" width="2.85546875" style="64" customWidth="1"/>
    <col min="3585" max="3585" width="21" style="64" customWidth="1"/>
    <col min="3586" max="3586" width="23.5703125" style="64" customWidth="1"/>
    <col min="3587" max="3587" width="12.140625" style="64" customWidth="1"/>
    <col min="3588" max="3588" width="3.28515625" style="64" customWidth="1"/>
    <col min="3589" max="3589" width="26.85546875" style="64" customWidth="1"/>
    <col min="3590" max="3590" width="0" style="64" hidden="1" customWidth="1"/>
    <col min="3591" max="3591" width="2.140625" style="64" customWidth="1"/>
    <col min="3592" max="3831" width="9.140625" style="64"/>
    <col min="3832" max="3832" width="2" style="64" customWidth="1"/>
    <col min="3833" max="3834" width="9.140625" style="64"/>
    <col min="3835" max="3835" width="7.28515625" style="64" customWidth="1"/>
    <col min="3836" max="3836" width="2.85546875" style="64" customWidth="1"/>
    <col min="3837" max="3837" width="9.140625" style="64"/>
    <col min="3838" max="3838" width="10.5703125" style="64" customWidth="1"/>
    <col min="3839" max="3839" width="7.85546875" style="64" customWidth="1"/>
    <col min="3840" max="3840" width="2.85546875" style="64" customWidth="1"/>
    <col min="3841" max="3841" width="21" style="64" customWidth="1"/>
    <col min="3842" max="3842" width="23.5703125" style="64" customWidth="1"/>
    <col min="3843" max="3843" width="12.140625" style="64" customWidth="1"/>
    <col min="3844" max="3844" width="3.28515625" style="64" customWidth="1"/>
    <col min="3845" max="3845" width="26.85546875" style="64" customWidth="1"/>
    <col min="3846" max="3846" width="0" style="64" hidden="1" customWidth="1"/>
    <col min="3847" max="3847" width="2.140625" style="64" customWidth="1"/>
    <col min="3848" max="4087" width="9.140625" style="64"/>
    <col min="4088" max="4088" width="2" style="64" customWidth="1"/>
    <col min="4089" max="4090" width="9.140625" style="64"/>
    <col min="4091" max="4091" width="7.28515625" style="64" customWidth="1"/>
    <col min="4092" max="4092" width="2.85546875" style="64" customWidth="1"/>
    <col min="4093" max="4093" width="9.140625" style="64"/>
    <col min="4094" max="4094" width="10.5703125" style="64" customWidth="1"/>
    <col min="4095" max="4095" width="7.85546875" style="64" customWidth="1"/>
    <col min="4096" max="4096" width="2.85546875" style="64" customWidth="1"/>
    <col min="4097" max="4097" width="21" style="64" customWidth="1"/>
    <col min="4098" max="4098" width="23.5703125" style="64" customWidth="1"/>
    <col min="4099" max="4099" width="12.140625" style="64" customWidth="1"/>
    <col min="4100" max="4100" width="3.28515625" style="64" customWidth="1"/>
    <col min="4101" max="4101" width="26.85546875" style="64" customWidth="1"/>
    <col min="4102" max="4102" width="0" style="64" hidden="1" customWidth="1"/>
    <col min="4103" max="4103" width="2.140625" style="64" customWidth="1"/>
    <col min="4104" max="4343" width="9.140625" style="64"/>
    <col min="4344" max="4344" width="2" style="64" customWidth="1"/>
    <col min="4345" max="4346" width="9.140625" style="64"/>
    <col min="4347" max="4347" width="7.28515625" style="64" customWidth="1"/>
    <col min="4348" max="4348" width="2.85546875" style="64" customWidth="1"/>
    <col min="4349" max="4349" width="9.140625" style="64"/>
    <col min="4350" max="4350" width="10.5703125" style="64" customWidth="1"/>
    <col min="4351" max="4351" width="7.85546875" style="64" customWidth="1"/>
    <col min="4352" max="4352" width="2.85546875" style="64" customWidth="1"/>
    <col min="4353" max="4353" width="21" style="64" customWidth="1"/>
    <col min="4354" max="4354" width="23.5703125" style="64" customWidth="1"/>
    <col min="4355" max="4355" width="12.140625" style="64" customWidth="1"/>
    <col min="4356" max="4356" width="3.28515625" style="64" customWidth="1"/>
    <col min="4357" max="4357" width="26.85546875" style="64" customWidth="1"/>
    <col min="4358" max="4358" width="0" style="64" hidden="1" customWidth="1"/>
    <col min="4359" max="4359" width="2.140625" style="64" customWidth="1"/>
    <col min="4360" max="4599" width="9.140625" style="64"/>
    <col min="4600" max="4600" width="2" style="64" customWidth="1"/>
    <col min="4601" max="4602" width="9.140625" style="64"/>
    <col min="4603" max="4603" width="7.28515625" style="64" customWidth="1"/>
    <col min="4604" max="4604" width="2.85546875" style="64" customWidth="1"/>
    <col min="4605" max="4605" width="9.140625" style="64"/>
    <col min="4606" max="4606" width="10.5703125" style="64" customWidth="1"/>
    <col min="4607" max="4607" width="7.85546875" style="64" customWidth="1"/>
    <col min="4608" max="4608" width="2.85546875" style="64" customWidth="1"/>
    <col min="4609" max="4609" width="21" style="64" customWidth="1"/>
    <col min="4610" max="4610" width="23.5703125" style="64" customWidth="1"/>
    <col min="4611" max="4611" width="12.140625" style="64" customWidth="1"/>
    <col min="4612" max="4612" width="3.28515625" style="64" customWidth="1"/>
    <col min="4613" max="4613" width="26.85546875" style="64" customWidth="1"/>
    <col min="4614" max="4614" width="0" style="64" hidden="1" customWidth="1"/>
    <col min="4615" max="4615" width="2.140625" style="64" customWidth="1"/>
    <col min="4616" max="4855" width="9.140625" style="64"/>
    <col min="4856" max="4856" width="2" style="64" customWidth="1"/>
    <col min="4857" max="4858" width="9.140625" style="64"/>
    <col min="4859" max="4859" width="7.28515625" style="64" customWidth="1"/>
    <col min="4860" max="4860" width="2.85546875" style="64" customWidth="1"/>
    <col min="4861" max="4861" width="9.140625" style="64"/>
    <col min="4862" max="4862" width="10.5703125" style="64" customWidth="1"/>
    <col min="4863" max="4863" width="7.85546875" style="64" customWidth="1"/>
    <col min="4864" max="4864" width="2.85546875" style="64" customWidth="1"/>
    <col min="4865" max="4865" width="21" style="64" customWidth="1"/>
    <col min="4866" max="4866" width="23.5703125" style="64" customWidth="1"/>
    <col min="4867" max="4867" width="12.140625" style="64" customWidth="1"/>
    <col min="4868" max="4868" width="3.28515625" style="64" customWidth="1"/>
    <col min="4869" max="4869" width="26.85546875" style="64" customWidth="1"/>
    <col min="4870" max="4870" width="0" style="64" hidden="1" customWidth="1"/>
    <col min="4871" max="4871" width="2.140625" style="64" customWidth="1"/>
    <col min="4872" max="5111" width="9.140625" style="64"/>
    <col min="5112" max="5112" width="2" style="64" customWidth="1"/>
    <col min="5113" max="5114" width="9.140625" style="64"/>
    <col min="5115" max="5115" width="7.28515625" style="64" customWidth="1"/>
    <col min="5116" max="5116" width="2.85546875" style="64" customWidth="1"/>
    <col min="5117" max="5117" width="9.140625" style="64"/>
    <col min="5118" max="5118" width="10.5703125" style="64" customWidth="1"/>
    <col min="5119" max="5119" width="7.85546875" style="64" customWidth="1"/>
    <col min="5120" max="5120" width="2.85546875" style="64" customWidth="1"/>
    <col min="5121" max="5121" width="21" style="64" customWidth="1"/>
    <col min="5122" max="5122" width="23.5703125" style="64" customWidth="1"/>
    <col min="5123" max="5123" width="12.140625" style="64" customWidth="1"/>
    <col min="5124" max="5124" width="3.28515625" style="64" customWidth="1"/>
    <col min="5125" max="5125" width="26.85546875" style="64" customWidth="1"/>
    <col min="5126" max="5126" width="0" style="64" hidden="1" customWidth="1"/>
    <col min="5127" max="5127" width="2.140625" style="64" customWidth="1"/>
    <col min="5128" max="5367" width="9.140625" style="64"/>
    <col min="5368" max="5368" width="2" style="64" customWidth="1"/>
    <col min="5369" max="5370" width="9.140625" style="64"/>
    <col min="5371" max="5371" width="7.28515625" style="64" customWidth="1"/>
    <col min="5372" max="5372" width="2.85546875" style="64" customWidth="1"/>
    <col min="5373" max="5373" width="9.140625" style="64"/>
    <col min="5374" max="5374" width="10.5703125" style="64" customWidth="1"/>
    <col min="5375" max="5375" width="7.85546875" style="64" customWidth="1"/>
    <col min="5376" max="5376" width="2.85546875" style="64" customWidth="1"/>
    <col min="5377" max="5377" width="21" style="64" customWidth="1"/>
    <col min="5378" max="5378" width="23.5703125" style="64" customWidth="1"/>
    <col min="5379" max="5379" width="12.140625" style="64" customWidth="1"/>
    <col min="5380" max="5380" width="3.28515625" style="64" customWidth="1"/>
    <col min="5381" max="5381" width="26.85546875" style="64" customWidth="1"/>
    <col min="5382" max="5382" width="0" style="64" hidden="1" customWidth="1"/>
    <col min="5383" max="5383" width="2.140625" style="64" customWidth="1"/>
    <col min="5384" max="5623" width="9.140625" style="64"/>
    <col min="5624" max="5624" width="2" style="64" customWidth="1"/>
    <col min="5625" max="5626" width="9.140625" style="64"/>
    <col min="5627" max="5627" width="7.28515625" style="64" customWidth="1"/>
    <col min="5628" max="5628" width="2.85546875" style="64" customWidth="1"/>
    <col min="5629" max="5629" width="9.140625" style="64"/>
    <col min="5630" max="5630" width="10.5703125" style="64" customWidth="1"/>
    <col min="5631" max="5631" width="7.85546875" style="64" customWidth="1"/>
    <col min="5632" max="5632" width="2.85546875" style="64" customWidth="1"/>
    <col min="5633" max="5633" width="21" style="64" customWidth="1"/>
    <col min="5634" max="5634" width="23.5703125" style="64" customWidth="1"/>
    <col min="5635" max="5635" width="12.140625" style="64" customWidth="1"/>
    <col min="5636" max="5636" width="3.28515625" style="64" customWidth="1"/>
    <col min="5637" max="5637" width="26.85546875" style="64" customWidth="1"/>
    <col min="5638" max="5638" width="0" style="64" hidden="1" customWidth="1"/>
    <col min="5639" max="5639" width="2.140625" style="64" customWidth="1"/>
    <col min="5640" max="5879" width="9.140625" style="64"/>
    <col min="5880" max="5880" width="2" style="64" customWidth="1"/>
    <col min="5881" max="5882" width="9.140625" style="64"/>
    <col min="5883" max="5883" width="7.28515625" style="64" customWidth="1"/>
    <col min="5884" max="5884" width="2.85546875" style="64" customWidth="1"/>
    <col min="5885" max="5885" width="9.140625" style="64"/>
    <col min="5886" max="5886" width="10.5703125" style="64" customWidth="1"/>
    <col min="5887" max="5887" width="7.85546875" style="64" customWidth="1"/>
    <col min="5888" max="5888" width="2.85546875" style="64" customWidth="1"/>
    <col min="5889" max="5889" width="21" style="64" customWidth="1"/>
    <col min="5890" max="5890" width="23.5703125" style="64" customWidth="1"/>
    <col min="5891" max="5891" width="12.140625" style="64" customWidth="1"/>
    <col min="5892" max="5892" width="3.28515625" style="64" customWidth="1"/>
    <col min="5893" max="5893" width="26.85546875" style="64" customWidth="1"/>
    <col min="5894" max="5894" width="0" style="64" hidden="1" customWidth="1"/>
    <col min="5895" max="5895" width="2.140625" style="64" customWidth="1"/>
    <col min="5896" max="6135" width="9.140625" style="64"/>
    <col min="6136" max="6136" width="2" style="64" customWidth="1"/>
    <col min="6137" max="6138" width="9.140625" style="64"/>
    <col min="6139" max="6139" width="7.28515625" style="64" customWidth="1"/>
    <col min="6140" max="6140" width="2.85546875" style="64" customWidth="1"/>
    <col min="6141" max="6141" width="9.140625" style="64"/>
    <col min="6142" max="6142" width="10.5703125" style="64" customWidth="1"/>
    <col min="6143" max="6143" width="7.85546875" style="64" customWidth="1"/>
    <col min="6144" max="6144" width="2.85546875" style="64" customWidth="1"/>
    <col min="6145" max="6145" width="21" style="64" customWidth="1"/>
    <col min="6146" max="6146" width="23.5703125" style="64" customWidth="1"/>
    <col min="6147" max="6147" width="12.140625" style="64" customWidth="1"/>
    <col min="6148" max="6148" width="3.28515625" style="64" customWidth="1"/>
    <col min="6149" max="6149" width="26.85546875" style="64" customWidth="1"/>
    <col min="6150" max="6150" width="0" style="64" hidden="1" customWidth="1"/>
    <col min="6151" max="6151" width="2.140625" style="64" customWidth="1"/>
    <col min="6152" max="6391" width="9.140625" style="64"/>
    <col min="6392" max="6392" width="2" style="64" customWidth="1"/>
    <col min="6393" max="6394" width="9.140625" style="64"/>
    <col min="6395" max="6395" width="7.28515625" style="64" customWidth="1"/>
    <col min="6396" max="6396" width="2.85546875" style="64" customWidth="1"/>
    <col min="6397" max="6397" width="9.140625" style="64"/>
    <col min="6398" max="6398" width="10.5703125" style="64" customWidth="1"/>
    <col min="6399" max="6399" width="7.85546875" style="64" customWidth="1"/>
    <col min="6400" max="6400" width="2.85546875" style="64" customWidth="1"/>
    <col min="6401" max="6401" width="21" style="64" customWidth="1"/>
    <col min="6402" max="6402" width="23.5703125" style="64" customWidth="1"/>
    <col min="6403" max="6403" width="12.140625" style="64" customWidth="1"/>
    <col min="6404" max="6404" width="3.28515625" style="64" customWidth="1"/>
    <col min="6405" max="6405" width="26.85546875" style="64" customWidth="1"/>
    <col min="6406" max="6406" width="0" style="64" hidden="1" customWidth="1"/>
    <col min="6407" max="6407" width="2.140625" style="64" customWidth="1"/>
    <col min="6408" max="6647" width="9.140625" style="64"/>
    <col min="6648" max="6648" width="2" style="64" customWidth="1"/>
    <col min="6649" max="6650" width="9.140625" style="64"/>
    <col min="6651" max="6651" width="7.28515625" style="64" customWidth="1"/>
    <col min="6652" max="6652" width="2.85546875" style="64" customWidth="1"/>
    <col min="6653" max="6653" width="9.140625" style="64"/>
    <col min="6654" max="6654" width="10.5703125" style="64" customWidth="1"/>
    <col min="6655" max="6655" width="7.85546875" style="64" customWidth="1"/>
    <col min="6656" max="6656" width="2.85546875" style="64" customWidth="1"/>
    <col min="6657" max="6657" width="21" style="64" customWidth="1"/>
    <col min="6658" max="6658" width="23.5703125" style="64" customWidth="1"/>
    <col min="6659" max="6659" width="12.140625" style="64" customWidth="1"/>
    <col min="6660" max="6660" width="3.28515625" style="64" customWidth="1"/>
    <col min="6661" max="6661" width="26.85546875" style="64" customWidth="1"/>
    <col min="6662" max="6662" width="0" style="64" hidden="1" customWidth="1"/>
    <col min="6663" max="6663" width="2.140625" style="64" customWidth="1"/>
    <col min="6664" max="6903" width="9.140625" style="64"/>
    <col min="6904" max="6904" width="2" style="64" customWidth="1"/>
    <col min="6905" max="6906" width="9.140625" style="64"/>
    <col min="6907" max="6907" width="7.28515625" style="64" customWidth="1"/>
    <col min="6908" max="6908" width="2.85546875" style="64" customWidth="1"/>
    <col min="6909" max="6909" width="9.140625" style="64"/>
    <col min="6910" max="6910" width="10.5703125" style="64" customWidth="1"/>
    <col min="6911" max="6911" width="7.85546875" style="64" customWidth="1"/>
    <col min="6912" max="6912" width="2.85546875" style="64" customWidth="1"/>
    <col min="6913" max="6913" width="21" style="64" customWidth="1"/>
    <col min="6914" max="6914" width="23.5703125" style="64" customWidth="1"/>
    <col min="6915" max="6915" width="12.140625" style="64" customWidth="1"/>
    <col min="6916" max="6916" width="3.28515625" style="64" customWidth="1"/>
    <col min="6917" max="6917" width="26.85546875" style="64" customWidth="1"/>
    <col min="6918" max="6918" width="0" style="64" hidden="1" customWidth="1"/>
    <col min="6919" max="6919" width="2.140625" style="64" customWidth="1"/>
    <col min="6920" max="7159" width="9.140625" style="64"/>
    <col min="7160" max="7160" width="2" style="64" customWidth="1"/>
    <col min="7161" max="7162" width="9.140625" style="64"/>
    <col min="7163" max="7163" width="7.28515625" style="64" customWidth="1"/>
    <col min="7164" max="7164" width="2.85546875" style="64" customWidth="1"/>
    <col min="7165" max="7165" width="9.140625" style="64"/>
    <col min="7166" max="7166" width="10.5703125" style="64" customWidth="1"/>
    <col min="7167" max="7167" width="7.85546875" style="64" customWidth="1"/>
    <col min="7168" max="7168" width="2.85546875" style="64" customWidth="1"/>
    <col min="7169" max="7169" width="21" style="64" customWidth="1"/>
    <col min="7170" max="7170" width="23.5703125" style="64" customWidth="1"/>
    <col min="7171" max="7171" width="12.140625" style="64" customWidth="1"/>
    <col min="7172" max="7172" width="3.28515625" style="64" customWidth="1"/>
    <col min="7173" max="7173" width="26.85546875" style="64" customWidth="1"/>
    <col min="7174" max="7174" width="0" style="64" hidden="1" customWidth="1"/>
    <col min="7175" max="7175" width="2.140625" style="64" customWidth="1"/>
    <col min="7176" max="7415" width="9.140625" style="64"/>
    <col min="7416" max="7416" width="2" style="64" customWidth="1"/>
    <col min="7417" max="7418" width="9.140625" style="64"/>
    <col min="7419" max="7419" width="7.28515625" style="64" customWidth="1"/>
    <col min="7420" max="7420" width="2.85546875" style="64" customWidth="1"/>
    <col min="7421" max="7421" width="9.140625" style="64"/>
    <col min="7422" max="7422" width="10.5703125" style="64" customWidth="1"/>
    <col min="7423" max="7423" width="7.85546875" style="64" customWidth="1"/>
    <col min="7424" max="7424" width="2.85546875" style="64" customWidth="1"/>
    <col min="7425" max="7425" width="21" style="64" customWidth="1"/>
    <col min="7426" max="7426" width="23.5703125" style="64" customWidth="1"/>
    <col min="7427" max="7427" width="12.140625" style="64" customWidth="1"/>
    <col min="7428" max="7428" width="3.28515625" style="64" customWidth="1"/>
    <col min="7429" max="7429" width="26.85546875" style="64" customWidth="1"/>
    <col min="7430" max="7430" width="0" style="64" hidden="1" customWidth="1"/>
    <col min="7431" max="7431" width="2.140625" style="64" customWidth="1"/>
    <col min="7432" max="7671" width="9.140625" style="64"/>
    <col min="7672" max="7672" width="2" style="64" customWidth="1"/>
    <col min="7673" max="7674" width="9.140625" style="64"/>
    <col min="7675" max="7675" width="7.28515625" style="64" customWidth="1"/>
    <col min="7676" max="7676" width="2.85546875" style="64" customWidth="1"/>
    <col min="7677" max="7677" width="9.140625" style="64"/>
    <col min="7678" max="7678" width="10.5703125" style="64" customWidth="1"/>
    <col min="7679" max="7679" width="7.85546875" style="64" customWidth="1"/>
    <col min="7680" max="7680" width="2.85546875" style="64" customWidth="1"/>
    <col min="7681" max="7681" width="21" style="64" customWidth="1"/>
    <col min="7682" max="7682" width="23.5703125" style="64" customWidth="1"/>
    <col min="7683" max="7683" width="12.140625" style="64" customWidth="1"/>
    <col min="7684" max="7684" width="3.28515625" style="64" customWidth="1"/>
    <col min="7685" max="7685" width="26.85546875" style="64" customWidth="1"/>
    <col min="7686" max="7686" width="0" style="64" hidden="1" customWidth="1"/>
    <col min="7687" max="7687" width="2.140625" style="64" customWidth="1"/>
    <col min="7688" max="7927" width="9.140625" style="64"/>
    <col min="7928" max="7928" width="2" style="64" customWidth="1"/>
    <col min="7929" max="7930" width="9.140625" style="64"/>
    <col min="7931" max="7931" width="7.28515625" style="64" customWidth="1"/>
    <col min="7932" max="7932" width="2.85546875" style="64" customWidth="1"/>
    <col min="7933" max="7933" width="9.140625" style="64"/>
    <col min="7934" max="7934" width="10.5703125" style="64" customWidth="1"/>
    <col min="7935" max="7935" width="7.85546875" style="64" customWidth="1"/>
    <col min="7936" max="7936" width="2.85546875" style="64" customWidth="1"/>
    <col min="7937" max="7937" width="21" style="64" customWidth="1"/>
    <col min="7938" max="7938" width="23.5703125" style="64" customWidth="1"/>
    <col min="7939" max="7939" width="12.140625" style="64" customWidth="1"/>
    <col min="7940" max="7940" width="3.28515625" style="64" customWidth="1"/>
    <col min="7941" max="7941" width="26.85546875" style="64" customWidth="1"/>
    <col min="7942" max="7942" width="0" style="64" hidden="1" customWidth="1"/>
    <col min="7943" max="7943" width="2.140625" style="64" customWidth="1"/>
    <col min="7944" max="8183" width="9.140625" style="64"/>
    <col min="8184" max="8184" width="2" style="64" customWidth="1"/>
    <col min="8185" max="8186" width="9.140625" style="64"/>
    <col min="8187" max="8187" width="7.28515625" style="64" customWidth="1"/>
    <col min="8188" max="8188" width="2.85546875" style="64" customWidth="1"/>
    <col min="8189" max="8189" width="9.140625" style="64"/>
    <col min="8190" max="8190" width="10.5703125" style="64" customWidth="1"/>
    <col min="8191" max="8191" width="7.85546875" style="64" customWidth="1"/>
    <col min="8192" max="8192" width="2.85546875" style="64" customWidth="1"/>
    <col min="8193" max="8193" width="21" style="64" customWidth="1"/>
    <col min="8194" max="8194" width="23.5703125" style="64" customWidth="1"/>
    <col min="8195" max="8195" width="12.140625" style="64" customWidth="1"/>
    <col min="8196" max="8196" width="3.28515625" style="64" customWidth="1"/>
    <col min="8197" max="8197" width="26.85546875" style="64" customWidth="1"/>
    <col min="8198" max="8198" width="0" style="64" hidden="1" customWidth="1"/>
    <col min="8199" max="8199" width="2.140625" style="64" customWidth="1"/>
    <col min="8200" max="8439" width="9.140625" style="64"/>
    <col min="8440" max="8440" width="2" style="64" customWidth="1"/>
    <col min="8441" max="8442" width="9.140625" style="64"/>
    <col min="8443" max="8443" width="7.28515625" style="64" customWidth="1"/>
    <col min="8444" max="8444" width="2.85546875" style="64" customWidth="1"/>
    <col min="8445" max="8445" width="9.140625" style="64"/>
    <col min="8446" max="8446" width="10.5703125" style="64" customWidth="1"/>
    <col min="8447" max="8447" width="7.85546875" style="64" customWidth="1"/>
    <col min="8448" max="8448" width="2.85546875" style="64" customWidth="1"/>
    <col min="8449" max="8449" width="21" style="64" customWidth="1"/>
    <col min="8450" max="8450" width="23.5703125" style="64" customWidth="1"/>
    <col min="8451" max="8451" width="12.140625" style="64" customWidth="1"/>
    <col min="8452" max="8452" width="3.28515625" style="64" customWidth="1"/>
    <col min="8453" max="8453" width="26.85546875" style="64" customWidth="1"/>
    <col min="8454" max="8454" width="0" style="64" hidden="1" customWidth="1"/>
    <col min="8455" max="8455" width="2.140625" style="64" customWidth="1"/>
    <col min="8456" max="8695" width="9.140625" style="64"/>
    <col min="8696" max="8696" width="2" style="64" customWidth="1"/>
    <col min="8697" max="8698" width="9.140625" style="64"/>
    <col min="8699" max="8699" width="7.28515625" style="64" customWidth="1"/>
    <col min="8700" max="8700" width="2.85546875" style="64" customWidth="1"/>
    <col min="8701" max="8701" width="9.140625" style="64"/>
    <col min="8702" max="8702" width="10.5703125" style="64" customWidth="1"/>
    <col min="8703" max="8703" width="7.85546875" style="64" customWidth="1"/>
    <col min="8704" max="8704" width="2.85546875" style="64" customWidth="1"/>
    <col min="8705" max="8705" width="21" style="64" customWidth="1"/>
    <col min="8706" max="8706" width="23.5703125" style="64" customWidth="1"/>
    <col min="8707" max="8707" width="12.140625" style="64" customWidth="1"/>
    <col min="8708" max="8708" width="3.28515625" style="64" customWidth="1"/>
    <col min="8709" max="8709" width="26.85546875" style="64" customWidth="1"/>
    <col min="8710" max="8710" width="0" style="64" hidden="1" customWidth="1"/>
    <col min="8711" max="8711" width="2.140625" style="64" customWidth="1"/>
    <col min="8712" max="8951" width="9.140625" style="64"/>
    <col min="8952" max="8952" width="2" style="64" customWidth="1"/>
    <col min="8953" max="8954" width="9.140625" style="64"/>
    <col min="8955" max="8955" width="7.28515625" style="64" customWidth="1"/>
    <col min="8956" max="8956" width="2.85546875" style="64" customWidth="1"/>
    <col min="8957" max="8957" width="9.140625" style="64"/>
    <col min="8958" max="8958" width="10.5703125" style="64" customWidth="1"/>
    <col min="8959" max="8959" width="7.85546875" style="64" customWidth="1"/>
    <col min="8960" max="8960" width="2.85546875" style="64" customWidth="1"/>
    <col min="8961" max="8961" width="21" style="64" customWidth="1"/>
    <col min="8962" max="8962" width="23.5703125" style="64" customWidth="1"/>
    <col min="8963" max="8963" width="12.140625" style="64" customWidth="1"/>
    <col min="8964" max="8964" width="3.28515625" style="64" customWidth="1"/>
    <col min="8965" max="8965" width="26.85546875" style="64" customWidth="1"/>
    <col min="8966" max="8966" width="0" style="64" hidden="1" customWidth="1"/>
    <col min="8967" max="8967" width="2.140625" style="64" customWidth="1"/>
    <col min="8968" max="9207" width="9.140625" style="64"/>
    <col min="9208" max="9208" width="2" style="64" customWidth="1"/>
    <col min="9209" max="9210" width="9.140625" style="64"/>
    <col min="9211" max="9211" width="7.28515625" style="64" customWidth="1"/>
    <col min="9212" max="9212" width="2.85546875" style="64" customWidth="1"/>
    <col min="9213" max="9213" width="9.140625" style="64"/>
    <col min="9214" max="9214" width="10.5703125" style="64" customWidth="1"/>
    <col min="9215" max="9215" width="7.85546875" style="64" customWidth="1"/>
    <col min="9216" max="9216" width="2.85546875" style="64" customWidth="1"/>
    <col min="9217" max="9217" width="21" style="64" customWidth="1"/>
    <col min="9218" max="9218" width="23.5703125" style="64" customWidth="1"/>
    <col min="9219" max="9219" width="12.140625" style="64" customWidth="1"/>
    <col min="9220" max="9220" width="3.28515625" style="64" customWidth="1"/>
    <col min="9221" max="9221" width="26.85546875" style="64" customWidth="1"/>
    <col min="9222" max="9222" width="0" style="64" hidden="1" customWidth="1"/>
    <col min="9223" max="9223" width="2.140625" style="64" customWidth="1"/>
    <col min="9224" max="9463" width="9.140625" style="64"/>
    <col min="9464" max="9464" width="2" style="64" customWidth="1"/>
    <col min="9465" max="9466" width="9.140625" style="64"/>
    <col min="9467" max="9467" width="7.28515625" style="64" customWidth="1"/>
    <col min="9468" max="9468" width="2.85546875" style="64" customWidth="1"/>
    <col min="9469" max="9469" width="9.140625" style="64"/>
    <col min="9470" max="9470" width="10.5703125" style="64" customWidth="1"/>
    <col min="9471" max="9471" width="7.85546875" style="64" customWidth="1"/>
    <col min="9472" max="9472" width="2.85546875" style="64" customWidth="1"/>
    <col min="9473" max="9473" width="21" style="64" customWidth="1"/>
    <col min="9474" max="9474" width="23.5703125" style="64" customWidth="1"/>
    <col min="9475" max="9475" width="12.140625" style="64" customWidth="1"/>
    <col min="9476" max="9476" width="3.28515625" style="64" customWidth="1"/>
    <col min="9477" max="9477" width="26.85546875" style="64" customWidth="1"/>
    <col min="9478" max="9478" width="0" style="64" hidden="1" customWidth="1"/>
    <col min="9479" max="9479" width="2.140625" style="64" customWidth="1"/>
    <col min="9480" max="9719" width="9.140625" style="64"/>
    <col min="9720" max="9720" width="2" style="64" customWidth="1"/>
    <col min="9721" max="9722" width="9.140625" style="64"/>
    <col min="9723" max="9723" width="7.28515625" style="64" customWidth="1"/>
    <col min="9724" max="9724" width="2.85546875" style="64" customWidth="1"/>
    <col min="9725" max="9725" width="9.140625" style="64"/>
    <col min="9726" max="9726" width="10.5703125" style="64" customWidth="1"/>
    <col min="9727" max="9727" width="7.85546875" style="64" customWidth="1"/>
    <col min="9728" max="9728" width="2.85546875" style="64" customWidth="1"/>
    <col min="9729" max="9729" width="21" style="64" customWidth="1"/>
    <col min="9730" max="9730" width="23.5703125" style="64" customWidth="1"/>
    <col min="9731" max="9731" width="12.140625" style="64" customWidth="1"/>
    <col min="9732" max="9732" width="3.28515625" style="64" customWidth="1"/>
    <col min="9733" max="9733" width="26.85546875" style="64" customWidth="1"/>
    <col min="9734" max="9734" width="0" style="64" hidden="1" customWidth="1"/>
    <col min="9735" max="9735" width="2.140625" style="64" customWidth="1"/>
    <col min="9736" max="9975" width="9.140625" style="64"/>
    <col min="9976" max="9976" width="2" style="64" customWidth="1"/>
    <col min="9977" max="9978" width="9.140625" style="64"/>
    <col min="9979" max="9979" width="7.28515625" style="64" customWidth="1"/>
    <col min="9980" max="9980" width="2.85546875" style="64" customWidth="1"/>
    <col min="9981" max="9981" width="9.140625" style="64"/>
    <col min="9982" max="9982" width="10.5703125" style="64" customWidth="1"/>
    <col min="9983" max="9983" width="7.85546875" style="64" customWidth="1"/>
    <col min="9984" max="9984" width="2.85546875" style="64" customWidth="1"/>
    <col min="9985" max="9985" width="21" style="64" customWidth="1"/>
    <col min="9986" max="9986" width="23.5703125" style="64" customWidth="1"/>
    <col min="9987" max="9987" width="12.140625" style="64" customWidth="1"/>
    <col min="9988" max="9988" width="3.28515625" style="64" customWidth="1"/>
    <col min="9989" max="9989" width="26.85546875" style="64" customWidth="1"/>
    <col min="9990" max="9990" width="0" style="64" hidden="1" customWidth="1"/>
    <col min="9991" max="9991" width="2.140625" style="64" customWidth="1"/>
    <col min="9992" max="10231" width="9.140625" style="64"/>
    <col min="10232" max="10232" width="2" style="64" customWidth="1"/>
    <col min="10233" max="10234" width="9.140625" style="64"/>
    <col min="10235" max="10235" width="7.28515625" style="64" customWidth="1"/>
    <col min="10236" max="10236" width="2.85546875" style="64" customWidth="1"/>
    <col min="10237" max="10237" width="9.140625" style="64"/>
    <col min="10238" max="10238" width="10.5703125" style="64" customWidth="1"/>
    <col min="10239" max="10239" width="7.85546875" style="64" customWidth="1"/>
    <col min="10240" max="10240" width="2.85546875" style="64" customWidth="1"/>
    <col min="10241" max="10241" width="21" style="64" customWidth="1"/>
    <col min="10242" max="10242" width="23.5703125" style="64" customWidth="1"/>
    <col min="10243" max="10243" width="12.140625" style="64" customWidth="1"/>
    <col min="10244" max="10244" width="3.28515625" style="64" customWidth="1"/>
    <col min="10245" max="10245" width="26.85546875" style="64" customWidth="1"/>
    <col min="10246" max="10246" width="0" style="64" hidden="1" customWidth="1"/>
    <col min="10247" max="10247" width="2.140625" style="64" customWidth="1"/>
    <col min="10248" max="10487" width="9.140625" style="64"/>
    <col min="10488" max="10488" width="2" style="64" customWidth="1"/>
    <col min="10489" max="10490" width="9.140625" style="64"/>
    <col min="10491" max="10491" width="7.28515625" style="64" customWidth="1"/>
    <col min="10492" max="10492" width="2.85546875" style="64" customWidth="1"/>
    <col min="10493" max="10493" width="9.140625" style="64"/>
    <col min="10494" max="10494" width="10.5703125" style="64" customWidth="1"/>
    <col min="10495" max="10495" width="7.85546875" style="64" customWidth="1"/>
    <col min="10496" max="10496" width="2.85546875" style="64" customWidth="1"/>
    <col min="10497" max="10497" width="21" style="64" customWidth="1"/>
    <col min="10498" max="10498" width="23.5703125" style="64" customWidth="1"/>
    <col min="10499" max="10499" width="12.140625" style="64" customWidth="1"/>
    <col min="10500" max="10500" width="3.28515625" style="64" customWidth="1"/>
    <col min="10501" max="10501" width="26.85546875" style="64" customWidth="1"/>
    <col min="10502" max="10502" width="0" style="64" hidden="1" customWidth="1"/>
    <col min="10503" max="10503" width="2.140625" style="64" customWidth="1"/>
    <col min="10504" max="10743" width="9.140625" style="64"/>
    <col min="10744" max="10744" width="2" style="64" customWidth="1"/>
    <col min="10745" max="10746" width="9.140625" style="64"/>
    <col min="10747" max="10747" width="7.28515625" style="64" customWidth="1"/>
    <col min="10748" max="10748" width="2.85546875" style="64" customWidth="1"/>
    <col min="10749" max="10749" width="9.140625" style="64"/>
    <col min="10750" max="10750" width="10.5703125" style="64" customWidth="1"/>
    <col min="10751" max="10751" width="7.85546875" style="64" customWidth="1"/>
    <col min="10752" max="10752" width="2.85546875" style="64" customWidth="1"/>
    <col min="10753" max="10753" width="21" style="64" customWidth="1"/>
    <col min="10754" max="10754" width="23.5703125" style="64" customWidth="1"/>
    <col min="10755" max="10755" width="12.140625" style="64" customWidth="1"/>
    <col min="10756" max="10756" width="3.28515625" style="64" customWidth="1"/>
    <col min="10757" max="10757" width="26.85546875" style="64" customWidth="1"/>
    <col min="10758" max="10758" width="0" style="64" hidden="1" customWidth="1"/>
    <col min="10759" max="10759" width="2.140625" style="64" customWidth="1"/>
    <col min="10760" max="10999" width="9.140625" style="64"/>
    <col min="11000" max="11000" width="2" style="64" customWidth="1"/>
    <col min="11001" max="11002" width="9.140625" style="64"/>
    <col min="11003" max="11003" width="7.28515625" style="64" customWidth="1"/>
    <col min="11004" max="11004" width="2.85546875" style="64" customWidth="1"/>
    <col min="11005" max="11005" width="9.140625" style="64"/>
    <col min="11006" max="11006" width="10.5703125" style="64" customWidth="1"/>
    <col min="11007" max="11007" width="7.85546875" style="64" customWidth="1"/>
    <col min="11008" max="11008" width="2.85546875" style="64" customWidth="1"/>
    <col min="11009" max="11009" width="21" style="64" customWidth="1"/>
    <col min="11010" max="11010" width="23.5703125" style="64" customWidth="1"/>
    <col min="11011" max="11011" width="12.140625" style="64" customWidth="1"/>
    <col min="11012" max="11012" width="3.28515625" style="64" customWidth="1"/>
    <col min="11013" max="11013" width="26.85546875" style="64" customWidth="1"/>
    <col min="11014" max="11014" width="0" style="64" hidden="1" customWidth="1"/>
    <col min="11015" max="11015" width="2.140625" style="64" customWidth="1"/>
    <col min="11016" max="11255" width="9.140625" style="64"/>
    <col min="11256" max="11256" width="2" style="64" customWidth="1"/>
    <col min="11257" max="11258" width="9.140625" style="64"/>
    <col min="11259" max="11259" width="7.28515625" style="64" customWidth="1"/>
    <col min="11260" max="11260" width="2.85546875" style="64" customWidth="1"/>
    <col min="11261" max="11261" width="9.140625" style="64"/>
    <col min="11262" max="11262" width="10.5703125" style="64" customWidth="1"/>
    <col min="11263" max="11263" width="7.85546875" style="64" customWidth="1"/>
    <col min="11264" max="11264" width="2.85546875" style="64" customWidth="1"/>
    <col min="11265" max="11265" width="21" style="64" customWidth="1"/>
    <col min="11266" max="11266" width="23.5703125" style="64" customWidth="1"/>
    <col min="11267" max="11267" width="12.140625" style="64" customWidth="1"/>
    <col min="11268" max="11268" width="3.28515625" style="64" customWidth="1"/>
    <col min="11269" max="11269" width="26.85546875" style="64" customWidth="1"/>
    <col min="11270" max="11270" width="0" style="64" hidden="1" customWidth="1"/>
    <col min="11271" max="11271" width="2.140625" style="64" customWidth="1"/>
    <col min="11272" max="11511" width="9.140625" style="64"/>
    <col min="11512" max="11512" width="2" style="64" customWidth="1"/>
    <col min="11513" max="11514" width="9.140625" style="64"/>
    <col min="11515" max="11515" width="7.28515625" style="64" customWidth="1"/>
    <col min="11516" max="11516" width="2.85546875" style="64" customWidth="1"/>
    <col min="11517" max="11517" width="9.140625" style="64"/>
    <col min="11518" max="11518" width="10.5703125" style="64" customWidth="1"/>
    <col min="11519" max="11519" width="7.85546875" style="64" customWidth="1"/>
    <col min="11520" max="11520" width="2.85546875" style="64" customWidth="1"/>
    <col min="11521" max="11521" width="21" style="64" customWidth="1"/>
    <col min="11522" max="11522" width="23.5703125" style="64" customWidth="1"/>
    <col min="11523" max="11523" width="12.140625" style="64" customWidth="1"/>
    <col min="11524" max="11524" width="3.28515625" style="64" customWidth="1"/>
    <col min="11525" max="11525" width="26.85546875" style="64" customWidth="1"/>
    <col min="11526" max="11526" width="0" style="64" hidden="1" customWidth="1"/>
    <col min="11527" max="11527" width="2.140625" style="64" customWidth="1"/>
    <col min="11528" max="11767" width="9.140625" style="64"/>
    <col min="11768" max="11768" width="2" style="64" customWidth="1"/>
    <col min="11769" max="11770" width="9.140625" style="64"/>
    <col min="11771" max="11771" width="7.28515625" style="64" customWidth="1"/>
    <col min="11772" max="11772" width="2.85546875" style="64" customWidth="1"/>
    <col min="11773" max="11773" width="9.140625" style="64"/>
    <col min="11774" max="11774" width="10.5703125" style="64" customWidth="1"/>
    <col min="11775" max="11775" width="7.85546875" style="64" customWidth="1"/>
    <col min="11776" max="11776" width="2.85546875" style="64" customWidth="1"/>
    <col min="11777" max="11777" width="21" style="64" customWidth="1"/>
    <col min="11778" max="11778" width="23.5703125" style="64" customWidth="1"/>
    <col min="11779" max="11779" width="12.140625" style="64" customWidth="1"/>
    <col min="11780" max="11780" width="3.28515625" style="64" customWidth="1"/>
    <col min="11781" max="11781" width="26.85546875" style="64" customWidth="1"/>
    <col min="11782" max="11782" width="0" style="64" hidden="1" customWidth="1"/>
    <col min="11783" max="11783" width="2.140625" style="64" customWidth="1"/>
    <col min="11784" max="12023" width="9.140625" style="64"/>
    <col min="12024" max="12024" width="2" style="64" customWidth="1"/>
    <col min="12025" max="12026" width="9.140625" style="64"/>
    <col min="12027" max="12027" width="7.28515625" style="64" customWidth="1"/>
    <col min="12028" max="12028" width="2.85546875" style="64" customWidth="1"/>
    <col min="12029" max="12029" width="9.140625" style="64"/>
    <col min="12030" max="12030" width="10.5703125" style="64" customWidth="1"/>
    <col min="12031" max="12031" width="7.85546875" style="64" customWidth="1"/>
    <col min="12032" max="12032" width="2.85546875" style="64" customWidth="1"/>
    <col min="12033" max="12033" width="21" style="64" customWidth="1"/>
    <col min="12034" max="12034" width="23.5703125" style="64" customWidth="1"/>
    <col min="12035" max="12035" width="12.140625" style="64" customWidth="1"/>
    <col min="12036" max="12036" width="3.28515625" style="64" customWidth="1"/>
    <col min="12037" max="12037" width="26.85546875" style="64" customWidth="1"/>
    <col min="12038" max="12038" width="0" style="64" hidden="1" customWidth="1"/>
    <col min="12039" max="12039" width="2.140625" style="64" customWidth="1"/>
    <col min="12040" max="12279" width="9.140625" style="64"/>
    <col min="12280" max="12280" width="2" style="64" customWidth="1"/>
    <col min="12281" max="12282" width="9.140625" style="64"/>
    <col min="12283" max="12283" width="7.28515625" style="64" customWidth="1"/>
    <col min="12284" max="12284" width="2.85546875" style="64" customWidth="1"/>
    <col min="12285" max="12285" width="9.140625" style="64"/>
    <col min="12286" max="12286" width="10.5703125" style="64" customWidth="1"/>
    <col min="12287" max="12287" width="7.85546875" style="64" customWidth="1"/>
    <col min="12288" max="12288" width="2.85546875" style="64" customWidth="1"/>
    <col min="12289" max="12289" width="21" style="64" customWidth="1"/>
    <col min="12290" max="12290" width="23.5703125" style="64" customWidth="1"/>
    <col min="12291" max="12291" width="12.140625" style="64" customWidth="1"/>
    <col min="12292" max="12292" width="3.28515625" style="64" customWidth="1"/>
    <col min="12293" max="12293" width="26.85546875" style="64" customWidth="1"/>
    <col min="12294" max="12294" width="0" style="64" hidden="1" customWidth="1"/>
    <col min="12295" max="12295" width="2.140625" style="64" customWidth="1"/>
    <col min="12296" max="12535" width="9.140625" style="64"/>
    <col min="12536" max="12536" width="2" style="64" customWidth="1"/>
    <col min="12537" max="12538" width="9.140625" style="64"/>
    <col min="12539" max="12539" width="7.28515625" style="64" customWidth="1"/>
    <col min="12540" max="12540" width="2.85546875" style="64" customWidth="1"/>
    <col min="12541" max="12541" width="9.140625" style="64"/>
    <col min="12542" max="12542" width="10.5703125" style="64" customWidth="1"/>
    <col min="12543" max="12543" width="7.85546875" style="64" customWidth="1"/>
    <col min="12544" max="12544" width="2.85546875" style="64" customWidth="1"/>
    <col min="12545" max="12545" width="21" style="64" customWidth="1"/>
    <col min="12546" max="12546" width="23.5703125" style="64" customWidth="1"/>
    <col min="12547" max="12547" width="12.140625" style="64" customWidth="1"/>
    <col min="12548" max="12548" width="3.28515625" style="64" customWidth="1"/>
    <col min="12549" max="12549" width="26.85546875" style="64" customWidth="1"/>
    <col min="12550" max="12550" width="0" style="64" hidden="1" customWidth="1"/>
    <col min="12551" max="12551" width="2.140625" style="64" customWidth="1"/>
    <col min="12552" max="12791" width="9.140625" style="64"/>
    <col min="12792" max="12792" width="2" style="64" customWidth="1"/>
    <col min="12793" max="12794" width="9.140625" style="64"/>
    <col min="12795" max="12795" width="7.28515625" style="64" customWidth="1"/>
    <col min="12796" max="12796" width="2.85546875" style="64" customWidth="1"/>
    <col min="12797" max="12797" width="9.140625" style="64"/>
    <col min="12798" max="12798" width="10.5703125" style="64" customWidth="1"/>
    <col min="12799" max="12799" width="7.85546875" style="64" customWidth="1"/>
    <col min="12800" max="12800" width="2.85546875" style="64" customWidth="1"/>
    <col min="12801" max="12801" width="21" style="64" customWidth="1"/>
    <col min="12802" max="12802" width="23.5703125" style="64" customWidth="1"/>
    <col min="12803" max="12803" width="12.140625" style="64" customWidth="1"/>
    <col min="12804" max="12804" width="3.28515625" style="64" customWidth="1"/>
    <col min="12805" max="12805" width="26.85546875" style="64" customWidth="1"/>
    <col min="12806" max="12806" width="0" style="64" hidden="1" customWidth="1"/>
    <col min="12807" max="12807" width="2.140625" style="64" customWidth="1"/>
    <col min="12808" max="13047" width="9.140625" style="64"/>
    <col min="13048" max="13048" width="2" style="64" customWidth="1"/>
    <col min="13049" max="13050" width="9.140625" style="64"/>
    <col min="13051" max="13051" width="7.28515625" style="64" customWidth="1"/>
    <col min="13052" max="13052" width="2.85546875" style="64" customWidth="1"/>
    <col min="13053" max="13053" width="9.140625" style="64"/>
    <col min="13054" max="13054" width="10.5703125" style="64" customWidth="1"/>
    <col min="13055" max="13055" width="7.85546875" style="64" customWidth="1"/>
    <col min="13056" max="13056" width="2.85546875" style="64" customWidth="1"/>
    <col min="13057" max="13057" width="21" style="64" customWidth="1"/>
    <col min="13058" max="13058" width="23.5703125" style="64" customWidth="1"/>
    <col min="13059" max="13059" width="12.140625" style="64" customWidth="1"/>
    <col min="13060" max="13060" width="3.28515625" style="64" customWidth="1"/>
    <col min="13061" max="13061" width="26.85546875" style="64" customWidth="1"/>
    <col min="13062" max="13062" width="0" style="64" hidden="1" customWidth="1"/>
    <col min="13063" max="13063" width="2.140625" style="64" customWidth="1"/>
    <col min="13064" max="13303" width="9.140625" style="64"/>
    <col min="13304" max="13304" width="2" style="64" customWidth="1"/>
    <col min="13305" max="13306" width="9.140625" style="64"/>
    <col min="13307" max="13307" width="7.28515625" style="64" customWidth="1"/>
    <col min="13308" max="13308" width="2.85546875" style="64" customWidth="1"/>
    <col min="13309" max="13309" width="9.140625" style="64"/>
    <col min="13310" max="13310" width="10.5703125" style="64" customWidth="1"/>
    <col min="13311" max="13311" width="7.85546875" style="64" customWidth="1"/>
    <col min="13312" max="13312" width="2.85546875" style="64" customWidth="1"/>
    <col min="13313" max="13313" width="21" style="64" customWidth="1"/>
    <col min="13314" max="13314" width="23.5703125" style="64" customWidth="1"/>
    <col min="13315" max="13315" width="12.140625" style="64" customWidth="1"/>
    <col min="13316" max="13316" width="3.28515625" style="64" customWidth="1"/>
    <col min="13317" max="13317" width="26.85546875" style="64" customWidth="1"/>
    <col min="13318" max="13318" width="0" style="64" hidden="1" customWidth="1"/>
    <col min="13319" max="13319" width="2.140625" style="64" customWidth="1"/>
    <col min="13320" max="13559" width="9.140625" style="64"/>
    <col min="13560" max="13560" width="2" style="64" customWidth="1"/>
    <col min="13561" max="13562" width="9.140625" style="64"/>
    <col min="13563" max="13563" width="7.28515625" style="64" customWidth="1"/>
    <col min="13564" max="13564" width="2.85546875" style="64" customWidth="1"/>
    <col min="13565" max="13565" width="9.140625" style="64"/>
    <col min="13566" max="13566" width="10.5703125" style="64" customWidth="1"/>
    <col min="13567" max="13567" width="7.85546875" style="64" customWidth="1"/>
    <col min="13568" max="13568" width="2.85546875" style="64" customWidth="1"/>
    <col min="13569" max="13569" width="21" style="64" customWidth="1"/>
    <col min="13570" max="13570" width="23.5703125" style="64" customWidth="1"/>
    <col min="13571" max="13571" width="12.140625" style="64" customWidth="1"/>
    <col min="13572" max="13572" width="3.28515625" style="64" customWidth="1"/>
    <col min="13573" max="13573" width="26.85546875" style="64" customWidth="1"/>
    <col min="13574" max="13574" width="0" style="64" hidden="1" customWidth="1"/>
    <col min="13575" max="13575" width="2.140625" style="64" customWidth="1"/>
    <col min="13576" max="13815" width="9.140625" style="64"/>
    <col min="13816" max="13816" width="2" style="64" customWidth="1"/>
    <col min="13817" max="13818" width="9.140625" style="64"/>
    <col min="13819" max="13819" width="7.28515625" style="64" customWidth="1"/>
    <col min="13820" max="13820" width="2.85546875" style="64" customWidth="1"/>
    <col min="13821" max="13821" width="9.140625" style="64"/>
    <col min="13822" max="13822" width="10.5703125" style="64" customWidth="1"/>
    <col min="13823" max="13823" width="7.85546875" style="64" customWidth="1"/>
    <col min="13824" max="13824" width="2.85546875" style="64" customWidth="1"/>
    <col min="13825" max="13825" width="21" style="64" customWidth="1"/>
    <col min="13826" max="13826" width="23.5703125" style="64" customWidth="1"/>
    <col min="13827" max="13827" width="12.140625" style="64" customWidth="1"/>
    <col min="13828" max="13828" width="3.28515625" style="64" customWidth="1"/>
    <col min="13829" max="13829" width="26.85546875" style="64" customWidth="1"/>
    <col min="13830" max="13830" width="0" style="64" hidden="1" customWidth="1"/>
    <col min="13831" max="13831" width="2.140625" style="64" customWidth="1"/>
    <col min="13832" max="14071" width="9.140625" style="64"/>
    <col min="14072" max="14072" width="2" style="64" customWidth="1"/>
    <col min="14073" max="14074" width="9.140625" style="64"/>
    <col min="14075" max="14075" width="7.28515625" style="64" customWidth="1"/>
    <col min="14076" max="14076" width="2.85546875" style="64" customWidth="1"/>
    <col min="14077" max="14077" width="9.140625" style="64"/>
    <col min="14078" max="14078" width="10.5703125" style="64" customWidth="1"/>
    <col min="14079" max="14079" width="7.85546875" style="64" customWidth="1"/>
    <col min="14080" max="14080" width="2.85546875" style="64" customWidth="1"/>
    <col min="14081" max="14081" width="21" style="64" customWidth="1"/>
    <col min="14082" max="14082" width="23.5703125" style="64" customWidth="1"/>
    <col min="14083" max="14083" width="12.140625" style="64" customWidth="1"/>
    <col min="14084" max="14084" width="3.28515625" style="64" customWidth="1"/>
    <col min="14085" max="14085" width="26.85546875" style="64" customWidth="1"/>
    <col min="14086" max="14086" width="0" style="64" hidden="1" customWidth="1"/>
    <col min="14087" max="14087" width="2.140625" style="64" customWidth="1"/>
    <col min="14088" max="14327" width="9.140625" style="64"/>
    <col min="14328" max="14328" width="2" style="64" customWidth="1"/>
    <col min="14329" max="14330" width="9.140625" style="64"/>
    <col min="14331" max="14331" width="7.28515625" style="64" customWidth="1"/>
    <col min="14332" max="14332" width="2.85546875" style="64" customWidth="1"/>
    <col min="14333" max="14333" width="9.140625" style="64"/>
    <col min="14334" max="14334" width="10.5703125" style="64" customWidth="1"/>
    <col min="14335" max="14335" width="7.85546875" style="64" customWidth="1"/>
    <col min="14336" max="14336" width="2.85546875" style="64" customWidth="1"/>
    <col min="14337" max="14337" width="21" style="64" customWidth="1"/>
    <col min="14338" max="14338" width="23.5703125" style="64" customWidth="1"/>
    <col min="14339" max="14339" width="12.140625" style="64" customWidth="1"/>
    <col min="14340" max="14340" width="3.28515625" style="64" customWidth="1"/>
    <col min="14341" max="14341" width="26.85546875" style="64" customWidth="1"/>
    <col min="14342" max="14342" width="0" style="64" hidden="1" customWidth="1"/>
    <col min="14343" max="14343" width="2.140625" style="64" customWidth="1"/>
    <col min="14344" max="14583" width="9.140625" style="64"/>
    <col min="14584" max="14584" width="2" style="64" customWidth="1"/>
    <col min="14585" max="14586" width="9.140625" style="64"/>
    <col min="14587" max="14587" width="7.28515625" style="64" customWidth="1"/>
    <col min="14588" max="14588" width="2.85546875" style="64" customWidth="1"/>
    <col min="14589" max="14589" width="9.140625" style="64"/>
    <col min="14590" max="14590" width="10.5703125" style="64" customWidth="1"/>
    <col min="14591" max="14591" width="7.85546875" style="64" customWidth="1"/>
    <col min="14592" max="14592" width="2.85546875" style="64" customWidth="1"/>
    <col min="14593" max="14593" width="21" style="64" customWidth="1"/>
    <col min="14594" max="14594" width="23.5703125" style="64" customWidth="1"/>
    <col min="14595" max="14595" width="12.140625" style="64" customWidth="1"/>
    <col min="14596" max="14596" width="3.28515625" style="64" customWidth="1"/>
    <col min="14597" max="14597" width="26.85546875" style="64" customWidth="1"/>
    <col min="14598" max="14598" width="0" style="64" hidden="1" customWidth="1"/>
    <col min="14599" max="14599" width="2.140625" style="64" customWidth="1"/>
    <col min="14600" max="14839" width="9.140625" style="64"/>
    <col min="14840" max="14840" width="2" style="64" customWidth="1"/>
    <col min="14841" max="14842" width="9.140625" style="64"/>
    <col min="14843" max="14843" width="7.28515625" style="64" customWidth="1"/>
    <col min="14844" max="14844" width="2.85546875" style="64" customWidth="1"/>
    <col min="14845" max="14845" width="9.140625" style="64"/>
    <col min="14846" max="14846" width="10.5703125" style="64" customWidth="1"/>
    <col min="14847" max="14847" width="7.85546875" style="64" customWidth="1"/>
    <col min="14848" max="14848" width="2.85546875" style="64" customWidth="1"/>
    <col min="14849" max="14849" width="21" style="64" customWidth="1"/>
    <col min="14850" max="14850" width="23.5703125" style="64" customWidth="1"/>
    <col min="14851" max="14851" width="12.140625" style="64" customWidth="1"/>
    <col min="14852" max="14852" width="3.28515625" style="64" customWidth="1"/>
    <col min="14853" max="14853" width="26.85546875" style="64" customWidth="1"/>
    <col min="14854" max="14854" width="0" style="64" hidden="1" customWidth="1"/>
    <col min="14855" max="14855" width="2.140625" style="64" customWidth="1"/>
    <col min="14856" max="15095" width="9.140625" style="64"/>
    <col min="15096" max="15096" width="2" style="64" customWidth="1"/>
    <col min="15097" max="15098" width="9.140625" style="64"/>
    <col min="15099" max="15099" width="7.28515625" style="64" customWidth="1"/>
    <col min="15100" max="15100" width="2.85546875" style="64" customWidth="1"/>
    <col min="15101" max="15101" width="9.140625" style="64"/>
    <col min="15102" max="15102" width="10.5703125" style="64" customWidth="1"/>
    <col min="15103" max="15103" width="7.85546875" style="64" customWidth="1"/>
    <col min="15104" max="15104" width="2.85546875" style="64" customWidth="1"/>
    <col min="15105" max="15105" width="21" style="64" customWidth="1"/>
    <col min="15106" max="15106" width="23.5703125" style="64" customWidth="1"/>
    <col min="15107" max="15107" width="12.140625" style="64" customWidth="1"/>
    <col min="15108" max="15108" width="3.28515625" style="64" customWidth="1"/>
    <col min="15109" max="15109" width="26.85546875" style="64" customWidth="1"/>
    <col min="15110" max="15110" width="0" style="64" hidden="1" customWidth="1"/>
    <col min="15111" max="15111" width="2.140625" style="64" customWidth="1"/>
    <col min="15112" max="15351" width="9.140625" style="64"/>
    <col min="15352" max="15352" width="2" style="64" customWidth="1"/>
    <col min="15353" max="15354" width="9.140625" style="64"/>
    <col min="15355" max="15355" width="7.28515625" style="64" customWidth="1"/>
    <col min="15356" max="15356" width="2.85546875" style="64" customWidth="1"/>
    <col min="15357" max="15357" width="9.140625" style="64"/>
    <col min="15358" max="15358" width="10.5703125" style="64" customWidth="1"/>
    <col min="15359" max="15359" width="7.85546875" style="64" customWidth="1"/>
    <col min="15360" max="15360" width="2.85546875" style="64" customWidth="1"/>
    <col min="15361" max="15361" width="21" style="64" customWidth="1"/>
    <col min="15362" max="15362" width="23.5703125" style="64" customWidth="1"/>
    <col min="15363" max="15363" width="12.140625" style="64" customWidth="1"/>
    <col min="15364" max="15364" width="3.28515625" style="64" customWidth="1"/>
    <col min="15365" max="15365" width="26.85546875" style="64" customWidth="1"/>
    <col min="15366" max="15366" width="0" style="64" hidden="1" customWidth="1"/>
    <col min="15367" max="15367" width="2.140625" style="64" customWidth="1"/>
    <col min="15368" max="15607" width="9.140625" style="64"/>
    <col min="15608" max="15608" width="2" style="64" customWidth="1"/>
    <col min="15609" max="15610" width="9.140625" style="64"/>
    <col min="15611" max="15611" width="7.28515625" style="64" customWidth="1"/>
    <col min="15612" max="15612" width="2.85546875" style="64" customWidth="1"/>
    <col min="15613" max="15613" width="9.140625" style="64"/>
    <col min="15614" max="15614" width="10.5703125" style="64" customWidth="1"/>
    <col min="15615" max="15615" width="7.85546875" style="64" customWidth="1"/>
    <col min="15616" max="15616" width="2.85546875" style="64" customWidth="1"/>
    <col min="15617" max="15617" width="21" style="64" customWidth="1"/>
    <col min="15618" max="15618" width="23.5703125" style="64" customWidth="1"/>
    <col min="15619" max="15619" width="12.140625" style="64" customWidth="1"/>
    <col min="15620" max="15620" width="3.28515625" style="64" customWidth="1"/>
    <col min="15621" max="15621" width="26.85546875" style="64" customWidth="1"/>
    <col min="15622" max="15622" width="0" style="64" hidden="1" customWidth="1"/>
    <col min="15623" max="15623" width="2.140625" style="64" customWidth="1"/>
    <col min="15624" max="15863" width="9.140625" style="64"/>
    <col min="15864" max="15864" width="2" style="64" customWidth="1"/>
    <col min="15865" max="15866" width="9.140625" style="64"/>
    <col min="15867" max="15867" width="7.28515625" style="64" customWidth="1"/>
    <col min="15868" max="15868" width="2.85546875" style="64" customWidth="1"/>
    <col min="15869" max="15869" width="9.140625" style="64"/>
    <col min="15870" max="15870" width="10.5703125" style="64" customWidth="1"/>
    <col min="15871" max="15871" width="7.85546875" style="64" customWidth="1"/>
    <col min="15872" max="15872" width="2.85546875" style="64" customWidth="1"/>
    <col min="15873" max="15873" width="21" style="64" customWidth="1"/>
    <col min="15874" max="15874" width="23.5703125" style="64" customWidth="1"/>
    <col min="15875" max="15875" width="12.140625" style="64" customWidth="1"/>
    <col min="15876" max="15876" width="3.28515625" style="64" customWidth="1"/>
    <col min="15877" max="15877" width="26.85546875" style="64" customWidth="1"/>
    <col min="15878" max="15878" width="0" style="64" hidden="1" customWidth="1"/>
    <col min="15879" max="15879" width="2.140625" style="64" customWidth="1"/>
    <col min="15880" max="16119" width="9.140625" style="64"/>
    <col min="16120" max="16120" width="2" style="64" customWidth="1"/>
    <col min="16121" max="16122" width="9.140625" style="64"/>
    <col min="16123" max="16123" width="7.28515625" style="64" customWidth="1"/>
    <col min="16124" max="16124" width="2.85546875" style="64" customWidth="1"/>
    <col min="16125" max="16125" width="9.140625" style="64"/>
    <col min="16126" max="16126" width="10.5703125" style="64" customWidth="1"/>
    <col min="16127" max="16127" width="7.85546875" style="64" customWidth="1"/>
    <col min="16128" max="16128" width="2.85546875" style="64" customWidth="1"/>
    <col min="16129" max="16129" width="21" style="64" customWidth="1"/>
    <col min="16130" max="16130" width="23.5703125" style="64" customWidth="1"/>
    <col min="16131" max="16131" width="12.140625" style="64" customWidth="1"/>
    <col min="16132" max="16132" width="3.28515625" style="64" customWidth="1"/>
    <col min="16133" max="16133" width="26.85546875" style="64" customWidth="1"/>
    <col min="16134" max="16134" width="0" style="64" hidden="1" customWidth="1"/>
    <col min="16135" max="16135" width="2.140625" style="64" customWidth="1"/>
    <col min="16136" max="16384" width="9.140625" style="64"/>
  </cols>
  <sheetData>
    <row r="3" spans="1:12" ht="13.5" thickBot="1" x14ac:dyDescent="0.25"/>
    <row r="4" spans="1:12" ht="15.75" customHeight="1" thickTop="1" x14ac:dyDescent="0.2">
      <c r="C4" s="77"/>
      <c r="D4" s="77"/>
      <c r="E4" s="112" t="s">
        <v>219</v>
      </c>
      <c r="F4" s="113"/>
      <c r="G4" s="113"/>
      <c r="H4" s="114"/>
    </row>
    <row r="5" spans="1:12" ht="15" customHeight="1" x14ac:dyDescent="0.2">
      <c r="C5" s="77"/>
      <c r="D5" s="77"/>
      <c r="E5" s="115"/>
      <c r="F5" s="116"/>
      <c r="G5" s="116"/>
      <c r="H5" s="117"/>
    </row>
    <row r="6" spans="1:12" ht="15" customHeight="1" thickBot="1" x14ac:dyDescent="0.25">
      <c r="C6" s="77"/>
      <c r="D6" s="77"/>
      <c r="E6" s="118"/>
      <c r="F6" s="119"/>
      <c r="G6" s="119"/>
      <c r="H6" s="120"/>
    </row>
    <row r="7" spans="1:12" ht="13.5" thickTop="1" x14ac:dyDescent="0.2"/>
    <row r="14" spans="1:12" x14ac:dyDescent="0.2">
      <c r="B14" s="64" t="s">
        <v>196</v>
      </c>
      <c r="G14" s="65"/>
    </row>
    <row r="15" spans="1:12" ht="13.5" thickBot="1" x14ac:dyDescent="0.25">
      <c r="G15" s="65"/>
    </row>
    <row r="16" spans="1:12" ht="15.75" customHeight="1" thickTop="1" x14ac:dyDescent="0.2">
      <c r="A16" s="78"/>
      <c r="B16" s="124"/>
      <c r="C16" s="125"/>
      <c r="D16" s="126"/>
      <c r="E16" s="78"/>
      <c r="F16" s="79"/>
      <c r="G16" s="69"/>
      <c r="H16" s="80"/>
      <c r="I16" s="81"/>
      <c r="J16" s="72"/>
      <c r="K16" s="79"/>
      <c r="L16" s="78"/>
    </row>
    <row r="17" spans="1:12" ht="12.75" customHeight="1" x14ac:dyDescent="0.2">
      <c r="A17" s="78"/>
      <c r="B17" s="127" t="s">
        <v>55</v>
      </c>
      <c r="C17" s="128"/>
      <c r="D17" s="129"/>
      <c r="E17" s="78"/>
      <c r="F17" s="85" t="s">
        <v>199</v>
      </c>
      <c r="G17" s="70"/>
      <c r="H17" s="82" t="s">
        <v>221</v>
      </c>
      <c r="I17" s="84"/>
      <c r="J17" s="72"/>
      <c r="K17" s="85" t="s">
        <v>178</v>
      </c>
      <c r="L17" s="78"/>
    </row>
    <row r="18" spans="1:12" ht="15" customHeight="1" x14ac:dyDescent="0.2">
      <c r="A18" s="78"/>
      <c r="B18" s="72"/>
      <c r="C18" s="84"/>
      <c r="D18" s="86"/>
      <c r="E18" s="78"/>
      <c r="F18" s="83"/>
      <c r="G18" s="78"/>
      <c r="H18" s="72"/>
      <c r="I18" s="84"/>
      <c r="J18" s="72"/>
      <c r="K18" s="83"/>
      <c r="L18" s="78"/>
    </row>
    <row r="19" spans="1:12" ht="25.5" x14ac:dyDescent="0.2">
      <c r="A19" s="78"/>
      <c r="B19" s="130" t="s">
        <v>200</v>
      </c>
      <c r="C19" s="131"/>
      <c r="D19" s="132"/>
      <c r="E19" s="78"/>
      <c r="F19" s="90" t="s">
        <v>220</v>
      </c>
      <c r="G19" s="78"/>
      <c r="H19" s="93" t="s">
        <v>222</v>
      </c>
      <c r="I19" s="89"/>
      <c r="J19" s="73"/>
      <c r="K19" s="95" t="s">
        <v>223</v>
      </c>
      <c r="L19" s="78"/>
    </row>
    <row r="20" spans="1:12" ht="15" customHeight="1" thickBot="1" x14ac:dyDescent="0.25">
      <c r="A20" s="78"/>
      <c r="B20" s="102"/>
      <c r="C20" s="103"/>
      <c r="D20" s="104"/>
      <c r="E20" s="78"/>
      <c r="F20" s="85"/>
      <c r="G20" s="78"/>
      <c r="H20" s="102"/>
      <c r="I20" s="91"/>
      <c r="J20" s="82"/>
      <c r="K20" s="97"/>
      <c r="L20" s="78"/>
    </row>
    <row r="21" spans="1:12" ht="12.75" customHeight="1" thickTop="1" x14ac:dyDescent="0.2">
      <c r="A21" s="78"/>
      <c r="B21" s="101"/>
      <c r="C21" s="101"/>
      <c r="D21" s="101"/>
      <c r="E21" s="78"/>
      <c r="F21" s="87" t="s">
        <v>229</v>
      </c>
      <c r="G21" s="78"/>
      <c r="I21" s="96"/>
      <c r="J21" s="96"/>
      <c r="K21" s="78"/>
      <c r="L21" s="78"/>
    </row>
    <row r="22" spans="1:12" x14ac:dyDescent="0.2">
      <c r="A22" s="78"/>
      <c r="B22" s="70"/>
      <c r="C22" s="70"/>
      <c r="D22" s="70"/>
      <c r="E22" s="78"/>
      <c r="F22" s="87" t="s">
        <v>230</v>
      </c>
      <c r="G22" s="78"/>
      <c r="I22" s="96"/>
      <c r="J22" s="96"/>
      <c r="K22" s="78"/>
      <c r="L22" s="78"/>
    </row>
    <row r="23" spans="1:12" x14ac:dyDescent="0.2">
      <c r="A23" s="78"/>
      <c r="B23" s="67"/>
      <c r="C23" s="67"/>
      <c r="D23" s="67"/>
      <c r="E23" s="78"/>
      <c r="F23" s="87" t="s">
        <v>224</v>
      </c>
      <c r="G23" s="78"/>
      <c r="I23" s="96"/>
      <c r="J23" s="96"/>
      <c r="K23" s="78"/>
      <c r="L23" s="78"/>
    </row>
    <row r="24" spans="1:12" x14ac:dyDescent="0.2">
      <c r="A24" s="78"/>
      <c r="B24" s="67"/>
      <c r="C24" s="67"/>
      <c r="D24" s="67"/>
      <c r="E24" s="78"/>
      <c r="F24" s="87" t="s">
        <v>231</v>
      </c>
      <c r="G24" s="78"/>
      <c r="I24" s="96"/>
      <c r="J24" s="96"/>
      <c r="K24" s="78"/>
      <c r="L24" s="78"/>
    </row>
    <row r="25" spans="1:12" ht="12.75" customHeight="1" x14ac:dyDescent="0.2">
      <c r="A25" s="78"/>
      <c r="B25" s="67"/>
      <c r="C25" s="67"/>
      <c r="D25" s="67"/>
      <c r="E25" s="78"/>
      <c r="F25" s="87" t="s">
        <v>225</v>
      </c>
      <c r="G25" s="78"/>
      <c r="I25" s="96"/>
      <c r="J25" s="96"/>
      <c r="K25" s="78"/>
      <c r="L25" s="78"/>
    </row>
    <row r="26" spans="1:12" ht="12.75" customHeight="1" x14ac:dyDescent="0.2">
      <c r="A26" s="78"/>
      <c r="B26" s="67"/>
      <c r="C26" s="67"/>
      <c r="D26" s="67"/>
      <c r="E26" s="78"/>
      <c r="F26" s="95" t="s">
        <v>226</v>
      </c>
      <c r="G26" s="71"/>
      <c r="I26" s="96"/>
      <c r="J26" s="96"/>
      <c r="L26" s="78"/>
    </row>
    <row r="27" spans="1:12" ht="13.5" thickBot="1" x14ac:dyDescent="0.25">
      <c r="A27" s="78"/>
      <c r="E27" s="78"/>
      <c r="F27" s="95" t="s">
        <v>227</v>
      </c>
      <c r="G27" s="70"/>
      <c r="H27" s="67"/>
      <c r="I27" s="103"/>
      <c r="J27" s="70"/>
      <c r="L27" s="78"/>
    </row>
    <row r="28" spans="1:12" ht="13.5" thickTop="1" x14ac:dyDescent="0.2">
      <c r="A28" s="78"/>
      <c r="E28" s="78"/>
      <c r="F28" s="95" t="s">
        <v>228</v>
      </c>
      <c r="G28" s="71"/>
      <c r="H28" s="67"/>
      <c r="L28" s="78"/>
    </row>
    <row r="29" spans="1:12" ht="13.5" thickBot="1" x14ac:dyDescent="0.25">
      <c r="A29" s="78"/>
      <c r="E29" s="78"/>
      <c r="F29" s="97"/>
      <c r="G29" s="71"/>
      <c r="H29" s="67"/>
      <c r="L29" s="78"/>
    </row>
    <row r="30" spans="1:12" ht="13.5" thickTop="1" x14ac:dyDescent="0.2">
      <c r="F30" s="78"/>
      <c r="G30" s="66"/>
      <c r="H30" s="66"/>
    </row>
    <row r="31" spans="1:12" x14ac:dyDescent="0.2">
      <c r="F31" s="78"/>
      <c r="G31" s="66"/>
      <c r="H31" s="66"/>
    </row>
    <row r="32" spans="1:12" x14ac:dyDescent="0.2">
      <c r="F32" s="78"/>
      <c r="G32" s="66"/>
      <c r="H32" s="66"/>
    </row>
    <row r="33" spans="7:8" x14ac:dyDescent="0.2">
      <c r="G33" s="65"/>
      <c r="H33" s="68"/>
    </row>
    <row r="34" spans="7:8" x14ac:dyDescent="0.2">
      <c r="G34" s="65"/>
      <c r="H34" s="66"/>
    </row>
    <row r="35" spans="7:8" x14ac:dyDescent="0.2">
      <c r="G35" s="65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6"/>
  <sheetViews>
    <sheetView zoomScale="85" workbookViewId="0">
      <selection activeCell="M16" sqref="M16:M20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19.140625" style="64" bestFit="1" customWidth="1"/>
    <col min="9" max="9" width="0" style="64" hidden="1" customWidth="1"/>
    <col min="10" max="10" width="2.85546875" style="64" customWidth="1"/>
    <col min="11" max="11" width="15.7109375" style="64" bestFit="1" customWidth="1"/>
    <col min="12" max="12" width="2.85546875" style="64" customWidth="1"/>
    <col min="13" max="13" width="15.7109375" style="64" bestFit="1" customWidth="1"/>
    <col min="14" max="14" width="2.85546875" style="64" customWidth="1"/>
    <col min="15" max="15" width="16.5703125" style="64" customWidth="1"/>
    <col min="16" max="247" width="9.140625" style="64"/>
    <col min="248" max="248" width="2" style="64" customWidth="1"/>
    <col min="249" max="250" width="9.140625" style="64"/>
    <col min="251" max="251" width="7.28515625" style="64" customWidth="1"/>
    <col min="252" max="252" width="2.85546875" style="64" customWidth="1"/>
    <col min="253" max="253" width="9.140625" style="64"/>
    <col min="254" max="254" width="10.5703125" style="64" customWidth="1"/>
    <col min="255" max="255" width="7.85546875" style="64" customWidth="1"/>
    <col min="256" max="256" width="2.85546875" style="64" customWidth="1"/>
    <col min="257" max="257" width="21" style="64" customWidth="1"/>
    <col min="258" max="258" width="23.5703125" style="64" customWidth="1"/>
    <col min="259" max="259" width="12.140625" style="64" customWidth="1"/>
    <col min="260" max="260" width="3.28515625" style="64" customWidth="1"/>
    <col min="261" max="261" width="26.85546875" style="64" customWidth="1"/>
    <col min="262" max="262" width="0" style="64" hidden="1" customWidth="1"/>
    <col min="263" max="263" width="2.140625" style="64" customWidth="1"/>
    <col min="264" max="503" width="9.140625" style="64"/>
    <col min="504" max="504" width="2" style="64" customWidth="1"/>
    <col min="505" max="506" width="9.140625" style="64"/>
    <col min="507" max="507" width="7.28515625" style="64" customWidth="1"/>
    <col min="508" max="508" width="2.85546875" style="64" customWidth="1"/>
    <col min="509" max="509" width="9.140625" style="64"/>
    <col min="510" max="510" width="10.5703125" style="64" customWidth="1"/>
    <col min="511" max="511" width="7.85546875" style="64" customWidth="1"/>
    <col min="512" max="512" width="2.85546875" style="64" customWidth="1"/>
    <col min="513" max="513" width="21" style="64" customWidth="1"/>
    <col min="514" max="514" width="23.5703125" style="64" customWidth="1"/>
    <col min="515" max="515" width="12.140625" style="64" customWidth="1"/>
    <col min="516" max="516" width="3.28515625" style="64" customWidth="1"/>
    <col min="517" max="517" width="26.85546875" style="64" customWidth="1"/>
    <col min="518" max="518" width="0" style="64" hidden="1" customWidth="1"/>
    <col min="519" max="519" width="2.140625" style="64" customWidth="1"/>
    <col min="520" max="759" width="9.140625" style="64"/>
    <col min="760" max="760" width="2" style="64" customWidth="1"/>
    <col min="761" max="762" width="9.140625" style="64"/>
    <col min="763" max="763" width="7.28515625" style="64" customWidth="1"/>
    <col min="764" max="764" width="2.85546875" style="64" customWidth="1"/>
    <col min="765" max="765" width="9.140625" style="64"/>
    <col min="766" max="766" width="10.5703125" style="64" customWidth="1"/>
    <col min="767" max="767" width="7.85546875" style="64" customWidth="1"/>
    <col min="768" max="768" width="2.85546875" style="64" customWidth="1"/>
    <col min="769" max="769" width="21" style="64" customWidth="1"/>
    <col min="770" max="770" width="23.5703125" style="64" customWidth="1"/>
    <col min="771" max="771" width="12.140625" style="64" customWidth="1"/>
    <col min="772" max="772" width="3.28515625" style="64" customWidth="1"/>
    <col min="773" max="773" width="26.85546875" style="64" customWidth="1"/>
    <col min="774" max="774" width="0" style="64" hidden="1" customWidth="1"/>
    <col min="775" max="775" width="2.140625" style="64" customWidth="1"/>
    <col min="776" max="1015" width="9.140625" style="64"/>
    <col min="1016" max="1016" width="2" style="64" customWidth="1"/>
    <col min="1017" max="1018" width="9.140625" style="64"/>
    <col min="1019" max="1019" width="7.28515625" style="64" customWidth="1"/>
    <col min="1020" max="1020" width="2.85546875" style="64" customWidth="1"/>
    <col min="1021" max="1021" width="9.140625" style="64"/>
    <col min="1022" max="1022" width="10.5703125" style="64" customWidth="1"/>
    <col min="1023" max="1023" width="7.85546875" style="64" customWidth="1"/>
    <col min="1024" max="1024" width="2.85546875" style="64" customWidth="1"/>
    <col min="1025" max="1025" width="21" style="64" customWidth="1"/>
    <col min="1026" max="1026" width="23.5703125" style="64" customWidth="1"/>
    <col min="1027" max="1027" width="12.140625" style="64" customWidth="1"/>
    <col min="1028" max="1028" width="3.28515625" style="64" customWidth="1"/>
    <col min="1029" max="1029" width="26.85546875" style="64" customWidth="1"/>
    <col min="1030" max="1030" width="0" style="64" hidden="1" customWidth="1"/>
    <col min="1031" max="1031" width="2.140625" style="64" customWidth="1"/>
    <col min="1032" max="1271" width="9.140625" style="64"/>
    <col min="1272" max="1272" width="2" style="64" customWidth="1"/>
    <col min="1273" max="1274" width="9.140625" style="64"/>
    <col min="1275" max="1275" width="7.28515625" style="64" customWidth="1"/>
    <col min="1276" max="1276" width="2.85546875" style="64" customWidth="1"/>
    <col min="1277" max="1277" width="9.140625" style="64"/>
    <col min="1278" max="1278" width="10.5703125" style="64" customWidth="1"/>
    <col min="1279" max="1279" width="7.85546875" style="64" customWidth="1"/>
    <col min="1280" max="1280" width="2.85546875" style="64" customWidth="1"/>
    <col min="1281" max="1281" width="21" style="64" customWidth="1"/>
    <col min="1282" max="1282" width="23.5703125" style="64" customWidth="1"/>
    <col min="1283" max="1283" width="12.140625" style="64" customWidth="1"/>
    <col min="1284" max="1284" width="3.28515625" style="64" customWidth="1"/>
    <col min="1285" max="1285" width="26.85546875" style="64" customWidth="1"/>
    <col min="1286" max="1286" width="0" style="64" hidden="1" customWidth="1"/>
    <col min="1287" max="1287" width="2.140625" style="64" customWidth="1"/>
    <col min="1288" max="1527" width="9.140625" style="64"/>
    <col min="1528" max="1528" width="2" style="64" customWidth="1"/>
    <col min="1529" max="1530" width="9.140625" style="64"/>
    <col min="1531" max="1531" width="7.28515625" style="64" customWidth="1"/>
    <col min="1532" max="1532" width="2.85546875" style="64" customWidth="1"/>
    <col min="1533" max="1533" width="9.140625" style="64"/>
    <col min="1534" max="1534" width="10.5703125" style="64" customWidth="1"/>
    <col min="1535" max="1535" width="7.85546875" style="64" customWidth="1"/>
    <col min="1536" max="1536" width="2.85546875" style="64" customWidth="1"/>
    <col min="1537" max="1537" width="21" style="64" customWidth="1"/>
    <col min="1538" max="1538" width="23.5703125" style="64" customWidth="1"/>
    <col min="1539" max="1539" width="12.140625" style="64" customWidth="1"/>
    <col min="1540" max="1540" width="3.28515625" style="64" customWidth="1"/>
    <col min="1541" max="1541" width="26.85546875" style="64" customWidth="1"/>
    <col min="1542" max="1542" width="0" style="64" hidden="1" customWidth="1"/>
    <col min="1543" max="1543" width="2.140625" style="64" customWidth="1"/>
    <col min="1544" max="1783" width="9.140625" style="64"/>
    <col min="1784" max="1784" width="2" style="64" customWidth="1"/>
    <col min="1785" max="1786" width="9.140625" style="64"/>
    <col min="1787" max="1787" width="7.28515625" style="64" customWidth="1"/>
    <col min="1788" max="1788" width="2.85546875" style="64" customWidth="1"/>
    <col min="1789" max="1789" width="9.140625" style="64"/>
    <col min="1790" max="1790" width="10.5703125" style="64" customWidth="1"/>
    <col min="1791" max="1791" width="7.85546875" style="64" customWidth="1"/>
    <col min="1792" max="1792" width="2.85546875" style="64" customWidth="1"/>
    <col min="1793" max="1793" width="21" style="64" customWidth="1"/>
    <col min="1794" max="1794" width="23.5703125" style="64" customWidth="1"/>
    <col min="1795" max="1795" width="12.140625" style="64" customWidth="1"/>
    <col min="1796" max="1796" width="3.28515625" style="64" customWidth="1"/>
    <col min="1797" max="1797" width="26.85546875" style="64" customWidth="1"/>
    <col min="1798" max="1798" width="0" style="64" hidden="1" customWidth="1"/>
    <col min="1799" max="1799" width="2.140625" style="64" customWidth="1"/>
    <col min="1800" max="2039" width="9.140625" style="64"/>
    <col min="2040" max="2040" width="2" style="64" customWidth="1"/>
    <col min="2041" max="2042" width="9.140625" style="64"/>
    <col min="2043" max="2043" width="7.28515625" style="64" customWidth="1"/>
    <col min="2044" max="2044" width="2.85546875" style="64" customWidth="1"/>
    <col min="2045" max="2045" width="9.140625" style="64"/>
    <col min="2046" max="2046" width="10.5703125" style="64" customWidth="1"/>
    <col min="2047" max="2047" width="7.85546875" style="64" customWidth="1"/>
    <col min="2048" max="2048" width="2.85546875" style="64" customWidth="1"/>
    <col min="2049" max="2049" width="21" style="64" customWidth="1"/>
    <col min="2050" max="2050" width="23.5703125" style="64" customWidth="1"/>
    <col min="2051" max="2051" width="12.140625" style="64" customWidth="1"/>
    <col min="2052" max="2052" width="3.28515625" style="64" customWidth="1"/>
    <col min="2053" max="2053" width="26.85546875" style="64" customWidth="1"/>
    <col min="2054" max="2054" width="0" style="64" hidden="1" customWidth="1"/>
    <col min="2055" max="2055" width="2.140625" style="64" customWidth="1"/>
    <col min="2056" max="2295" width="9.140625" style="64"/>
    <col min="2296" max="2296" width="2" style="64" customWidth="1"/>
    <col min="2297" max="2298" width="9.140625" style="64"/>
    <col min="2299" max="2299" width="7.28515625" style="64" customWidth="1"/>
    <col min="2300" max="2300" width="2.85546875" style="64" customWidth="1"/>
    <col min="2301" max="2301" width="9.140625" style="64"/>
    <col min="2302" max="2302" width="10.5703125" style="64" customWidth="1"/>
    <col min="2303" max="2303" width="7.85546875" style="64" customWidth="1"/>
    <col min="2304" max="2304" width="2.85546875" style="64" customWidth="1"/>
    <col min="2305" max="2305" width="21" style="64" customWidth="1"/>
    <col min="2306" max="2306" width="23.5703125" style="64" customWidth="1"/>
    <col min="2307" max="2307" width="12.140625" style="64" customWidth="1"/>
    <col min="2308" max="2308" width="3.28515625" style="64" customWidth="1"/>
    <col min="2309" max="2309" width="26.85546875" style="64" customWidth="1"/>
    <col min="2310" max="2310" width="0" style="64" hidden="1" customWidth="1"/>
    <col min="2311" max="2311" width="2.140625" style="64" customWidth="1"/>
    <col min="2312" max="2551" width="9.140625" style="64"/>
    <col min="2552" max="2552" width="2" style="64" customWidth="1"/>
    <col min="2553" max="2554" width="9.140625" style="64"/>
    <col min="2555" max="2555" width="7.28515625" style="64" customWidth="1"/>
    <col min="2556" max="2556" width="2.85546875" style="64" customWidth="1"/>
    <col min="2557" max="2557" width="9.140625" style="64"/>
    <col min="2558" max="2558" width="10.5703125" style="64" customWidth="1"/>
    <col min="2559" max="2559" width="7.85546875" style="64" customWidth="1"/>
    <col min="2560" max="2560" width="2.85546875" style="64" customWidth="1"/>
    <col min="2561" max="2561" width="21" style="64" customWidth="1"/>
    <col min="2562" max="2562" width="23.5703125" style="64" customWidth="1"/>
    <col min="2563" max="2563" width="12.140625" style="64" customWidth="1"/>
    <col min="2564" max="2564" width="3.28515625" style="64" customWidth="1"/>
    <col min="2565" max="2565" width="26.85546875" style="64" customWidth="1"/>
    <col min="2566" max="2566" width="0" style="64" hidden="1" customWidth="1"/>
    <col min="2567" max="2567" width="2.140625" style="64" customWidth="1"/>
    <col min="2568" max="2807" width="9.140625" style="64"/>
    <col min="2808" max="2808" width="2" style="64" customWidth="1"/>
    <col min="2809" max="2810" width="9.140625" style="64"/>
    <col min="2811" max="2811" width="7.28515625" style="64" customWidth="1"/>
    <col min="2812" max="2812" width="2.85546875" style="64" customWidth="1"/>
    <col min="2813" max="2813" width="9.140625" style="64"/>
    <col min="2814" max="2814" width="10.5703125" style="64" customWidth="1"/>
    <col min="2815" max="2815" width="7.85546875" style="64" customWidth="1"/>
    <col min="2816" max="2816" width="2.85546875" style="64" customWidth="1"/>
    <col min="2817" max="2817" width="21" style="64" customWidth="1"/>
    <col min="2818" max="2818" width="23.5703125" style="64" customWidth="1"/>
    <col min="2819" max="2819" width="12.140625" style="64" customWidth="1"/>
    <col min="2820" max="2820" width="3.28515625" style="64" customWidth="1"/>
    <col min="2821" max="2821" width="26.85546875" style="64" customWidth="1"/>
    <col min="2822" max="2822" width="0" style="64" hidden="1" customWidth="1"/>
    <col min="2823" max="2823" width="2.140625" style="64" customWidth="1"/>
    <col min="2824" max="3063" width="9.140625" style="64"/>
    <col min="3064" max="3064" width="2" style="64" customWidth="1"/>
    <col min="3065" max="3066" width="9.140625" style="64"/>
    <col min="3067" max="3067" width="7.28515625" style="64" customWidth="1"/>
    <col min="3068" max="3068" width="2.85546875" style="64" customWidth="1"/>
    <col min="3069" max="3069" width="9.140625" style="64"/>
    <col min="3070" max="3070" width="10.5703125" style="64" customWidth="1"/>
    <col min="3071" max="3071" width="7.85546875" style="64" customWidth="1"/>
    <col min="3072" max="3072" width="2.85546875" style="64" customWidth="1"/>
    <col min="3073" max="3073" width="21" style="64" customWidth="1"/>
    <col min="3074" max="3074" width="23.5703125" style="64" customWidth="1"/>
    <col min="3075" max="3075" width="12.140625" style="64" customWidth="1"/>
    <col min="3076" max="3076" width="3.28515625" style="64" customWidth="1"/>
    <col min="3077" max="3077" width="26.85546875" style="64" customWidth="1"/>
    <col min="3078" max="3078" width="0" style="64" hidden="1" customWidth="1"/>
    <col min="3079" max="3079" width="2.140625" style="64" customWidth="1"/>
    <col min="3080" max="3319" width="9.140625" style="64"/>
    <col min="3320" max="3320" width="2" style="64" customWidth="1"/>
    <col min="3321" max="3322" width="9.140625" style="64"/>
    <col min="3323" max="3323" width="7.28515625" style="64" customWidth="1"/>
    <col min="3324" max="3324" width="2.85546875" style="64" customWidth="1"/>
    <col min="3325" max="3325" width="9.140625" style="64"/>
    <col min="3326" max="3326" width="10.5703125" style="64" customWidth="1"/>
    <col min="3327" max="3327" width="7.85546875" style="64" customWidth="1"/>
    <col min="3328" max="3328" width="2.85546875" style="64" customWidth="1"/>
    <col min="3329" max="3329" width="21" style="64" customWidth="1"/>
    <col min="3330" max="3330" width="23.5703125" style="64" customWidth="1"/>
    <col min="3331" max="3331" width="12.140625" style="64" customWidth="1"/>
    <col min="3332" max="3332" width="3.28515625" style="64" customWidth="1"/>
    <col min="3333" max="3333" width="26.85546875" style="64" customWidth="1"/>
    <col min="3334" max="3334" width="0" style="64" hidden="1" customWidth="1"/>
    <col min="3335" max="3335" width="2.140625" style="64" customWidth="1"/>
    <col min="3336" max="3575" width="9.140625" style="64"/>
    <col min="3576" max="3576" width="2" style="64" customWidth="1"/>
    <col min="3577" max="3578" width="9.140625" style="64"/>
    <col min="3579" max="3579" width="7.28515625" style="64" customWidth="1"/>
    <col min="3580" max="3580" width="2.85546875" style="64" customWidth="1"/>
    <col min="3581" max="3581" width="9.140625" style="64"/>
    <col min="3582" max="3582" width="10.5703125" style="64" customWidth="1"/>
    <col min="3583" max="3583" width="7.85546875" style="64" customWidth="1"/>
    <col min="3584" max="3584" width="2.85546875" style="64" customWidth="1"/>
    <col min="3585" max="3585" width="21" style="64" customWidth="1"/>
    <col min="3586" max="3586" width="23.5703125" style="64" customWidth="1"/>
    <col min="3587" max="3587" width="12.140625" style="64" customWidth="1"/>
    <col min="3588" max="3588" width="3.28515625" style="64" customWidth="1"/>
    <col min="3589" max="3589" width="26.85546875" style="64" customWidth="1"/>
    <col min="3590" max="3590" width="0" style="64" hidden="1" customWidth="1"/>
    <col min="3591" max="3591" width="2.140625" style="64" customWidth="1"/>
    <col min="3592" max="3831" width="9.140625" style="64"/>
    <col min="3832" max="3832" width="2" style="64" customWidth="1"/>
    <col min="3833" max="3834" width="9.140625" style="64"/>
    <col min="3835" max="3835" width="7.28515625" style="64" customWidth="1"/>
    <col min="3836" max="3836" width="2.85546875" style="64" customWidth="1"/>
    <col min="3837" max="3837" width="9.140625" style="64"/>
    <col min="3838" max="3838" width="10.5703125" style="64" customWidth="1"/>
    <col min="3839" max="3839" width="7.85546875" style="64" customWidth="1"/>
    <col min="3840" max="3840" width="2.85546875" style="64" customWidth="1"/>
    <col min="3841" max="3841" width="21" style="64" customWidth="1"/>
    <col min="3842" max="3842" width="23.5703125" style="64" customWidth="1"/>
    <col min="3843" max="3843" width="12.140625" style="64" customWidth="1"/>
    <col min="3844" max="3844" width="3.28515625" style="64" customWidth="1"/>
    <col min="3845" max="3845" width="26.85546875" style="64" customWidth="1"/>
    <col min="3846" max="3846" width="0" style="64" hidden="1" customWidth="1"/>
    <col min="3847" max="3847" width="2.140625" style="64" customWidth="1"/>
    <col min="3848" max="4087" width="9.140625" style="64"/>
    <col min="4088" max="4088" width="2" style="64" customWidth="1"/>
    <col min="4089" max="4090" width="9.140625" style="64"/>
    <col min="4091" max="4091" width="7.28515625" style="64" customWidth="1"/>
    <col min="4092" max="4092" width="2.85546875" style="64" customWidth="1"/>
    <col min="4093" max="4093" width="9.140625" style="64"/>
    <col min="4094" max="4094" width="10.5703125" style="64" customWidth="1"/>
    <col min="4095" max="4095" width="7.85546875" style="64" customWidth="1"/>
    <col min="4096" max="4096" width="2.85546875" style="64" customWidth="1"/>
    <col min="4097" max="4097" width="21" style="64" customWidth="1"/>
    <col min="4098" max="4098" width="23.5703125" style="64" customWidth="1"/>
    <col min="4099" max="4099" width="12.140625" style="64" customWidth="1"/>
    <col min="4100" max="4100" width="3.28515625" style="64" customWidth="1"/>
    <col min="4101" max="4101" width="26.85546875" style="64" customWidth="1"/>
    <col min="4102" max="4102" width="0" style="64" hidden="1" customWidth="1"/>
    <col min="4103" max="4103" width="2.140625" style="64" customWidth="1"/>
    <col min="4104" max="4343" width="9.140625" style="64"/>
    <col min="4344" max="4344" width="2" style="64" customWidth="1"/>
    <col min="4345" max="4346" width="9.140625" style="64"/>
    <col min="4347" max="4347" width="7.28515625" style="64" customWidth="1"/>
    <col min="4348" max="4348" width="2.85546875" style="64" customWidth="1"/>
    <col min="4349" max="4349" width="9.140625" style="64"/>
    <col min="4350" max="4350" width="10.5703125" style="64" customWidth="1"/>
    <col min="4351" max="4351" width="7.85546875" style="64" customWidth="1"/>
    <col min="4352" max="4352" width="2.85546875" style="64" customWidth="1"/>
    <col min="4353" max="4353" width="21" style="64" customWidth="1"/>
    <col min="4354" max="4354" width="23.5703125" style="64" customWidth="1"/>
    <col min="4355" max="4355" width="12.140625" style="64" customWidth="1"/>
    <col min="4356" max="4356" width="3.28515625" style="64" customWidth="1"/>
    <col min="4357" max="4357" width="26.85546875" style="64" customWidth="1"/>
    <col min="4358" max="4358" width="0" style="64" hidden="1" customWidth="1"/>
    <col min="4359" max="4359" width="2.140625" style="64" customWidth="1"/>
    <col min="4360" max="4599" width="9.140625" style="64"/>
    <col min="4600" max="4600" width="2" style="64" customWidth="1"/>
    <col min="4601" max="4602" width="9.140625" style="64"/>
    <col min="4603" max="4603" width="7.28515625" style="64" customWidth="1"/>
    <col min="4604" max="4604" width="2.85546875" style="64" customWidth="1"/>
    <col min="4605" max="4605" width="9.140625" style="64"/>
    <col min="4606" max="4606" width="10.5703125" style="64" customWidth="1"/>
    <col min="4607" max="4607" width="7.85546875" style="64" customWidth="1"/>
    <col min="4608" max="4608" width="2.85546875" style="64" customWidth="1"/>
    <col min="4609" max="4609" width="21" style="64" customWidth="1"/>
    <col min="4610" max="4610" width="23.5703125" style="64" customWidth="1"/>
    <col min="4611" max="4611" width="12.140625" style="64" customWidth="1"/>
    <col min="4612" max="4612" width="3.28515625" style="64" customWidth="1"/>
    <col min="4613" max="4613" width="26.85546875" style="64" customWidth="1"/>
    <col min="4614" max="4614" width="0" style="64" hidden="1" customWidth="1"/>
    <col min="4615" max="4615" width="2.140625" style="64" customWidth="1"/>
    <col min="4616" max="4855" width="9.140625" style="64"/>
    <col min="4856" max="4856" width="2" style="64" customWidth="1"/>
    <col min="4857" max="4858" width="9.140625" style="64"/>
    <col min="4859" max="4859" width="7.28515625" style="64" customWidth="1"/>
    <col min="4860" max="4860" width="2.85546875" style="64" customWidth="1"/>
    <col min="4861" max="4861" width="9.140625" style="64"/>
    <col min="4862" max="4862" width="10.5703125" style="64" customWidth="1"/>
    <col min="4863" max="4863" width="7.85546875" style="64" customWidth="1"/>
    <col min="4864" max="4864" width="2.85546875" style="64" customWidth="1"/>
    <col min="4865" max="4865" width="21" style="64" customWidth="1"/>
    <col min="4866" max="4866" width="23.5703125" style="64" customWidth="1"/>
    <col min="4867" max="4867" width="12.140625" style="64" customWidth="1"/>
    <col min="4868" max="4868" width="3.28515625" style="64" customWidth="1"/>
    <col min="4869" max="4869" width="26.85546875" style="64" customWidth="1"/>
    <col min="4870" max="4870" width="0" style="64" hidden="1" customWidth="1"/>
    <col min="4871" max="4871" width="2.140625" style="64" customWidth="1"/>
    <col min="4872" max="5111" width="9.140625" style="64"/>
    <col min="5112" max="5112" width="2" style="64" customWidth="1"/>
    <col min="5113" max="5114" width="9.140625" style="64"/>
    <col min="5115" max="5115" width="7.28515625" style="64" customWidth="1"/>
    <col min="5116" max="5116" width="2.85546875" style="64" customWidth="1"/>
    <col min="5117" max="5117" width="9.140625" style="64"/>
    <col min="5118" max="5118" width="10.5703125" style="64" customWidth="1"/>
    <col min="5119" max="5119" width="7.85546875" style="64" customWidth="1"/>
    <col min="5120" max="5120" width="2.85546875" style="64" customWidth="1"/>
    <col min="5121" max="5121" width="21" style="64" customWidth="1"/>
    <col min="5122" max="5122" width="23.5703125" style="64" customWidth="1"/>
    <col min="5123" max="5123" width="12.140625" style="64" customWidth="1"/>
    <col min="5124" max="5124" width="3.28515625" style="64" customWidth="1"/>
    <col min="5125" max="5125" width="26.85546875" style="64" customWidth="1"/>
    <col min="5126" max="5126" width="0" style="64" hidden="1" customWidth="1"/>
    <col min="5127" max="5127" width="2.140625" style="64" customWidth="1"/>
    <col min="5128" max="5367" width="9.140625" style="64"/>
    <col min="5368" max="5368" width="2" style="64" customWidth="1"/>
    <col min="5369" max="5370" width="9.140625" style="64"/>
    <col min="5371" max="5371" width="7.28515625" style="64" customWidth="1"/>
    <col min="5372" max="5372" width="2.85546875" style="64" customWidth="1"/>
    <col min="5373" max="5373" width="9.140625" style="64"/>
    <col min="5374" max="5374" width="10.5703125" style="64" customWidth="1"/>
    <col min="5375" max="5375" width="7.85546875" style="64" customWidth="1"/>
    <col min="5376" max="5376" width="2.85546875" style="64" customWidth="1"/>
    <col min="5377" max="5377" width="21" style="64" customWidth="1"/>
    <col min="5378" max="5378" width="23.5703125" style="64" customWidth="1"/>
    <col min="5379" max="5379" width="12.140625" style="64" customWidth="1"/>
    <col min="5380" max="5380" width="3.28515625" style="64" customWidth="1"/>
    <col min="5381" max="5381" width="26.85546875" style="64" customWidth="1"/>
    <col min="5382" max="5382" width="0" style="64" hidden="1" customWidth="1"/>
    <col min="5383" max="5383" width="2.140625" style="64" customWidth="1"/>
    <col min="5384" max="5623" width="9.140625" style="64"/>
    <col min="5624" max="5624" width="2" style="64" customWidth="1"/>
    <col min="5625" max="5626" width="9.140625" style="64"/>
    <col min="5627" max="5627" width="7.28515625" style="64" customWidth="1"/>
    <col min="5628" max="5628" width="2.85546875" style="64" customWidth="1"/>
    <col min="5629" max="5629" width="9.140625" style="64"/>
    <col min="5630" max="5630" width="10.5703125" style="64" customWidth="1"/>
    <col min="5631" max="5631" width="7.85546875" style="64" customWidth="1"/>
    <col min="5632" max="5632" width="2.85546875" style="64" customWidth="1"/>
    <col min="5633" max="5633" width="21" style="64" customWidth="1"/>
    <col min="5634" max="5634" width="23.5703125" style="64" customWidth="1"/>
    <col min="5635" max="5635" width="12.140625" style="64" customWidth="1"/>
    <col min="5636" max="5636" width="3.28515625" style="64" customWidth="1"/>
    <col min="5637" max="5637" width="26.85546875" style="64" customWidth="1"/>
    <col min="5638" max="5638" width="0" style="64" hidden="1" customWidth="1"/>
    <col min="5639" max="5639" width="2.140625" style="64" customWidth="1"/>
    <col min="5640" max="5879" width="9.140625" style="64"/>
    <col min="5880" max="5880" width="2" style="64" customWidth="1"/>
    <col min="5881" max="5882" width="9.140625" style="64"/>
    <col min="5883" max="5883" width="7.28515625" style="64" customWidth="1"/>
    <col min="5884" max="5884" width="2.85546875" style="64" customWidth="1"/>
    <col min="5885" max="5885" width="9.140625" style="64"/>
    <col min="5886" max="5886" width="10.5703125" style="64" customWidth="1"/>
    <col min="5887" max="5887" width="7.85546875" style="64" customWidth="1"/>
    <col min="5888" max="5888" width="2.85546875" style="64" customWidth="1"/>
    <col min="5889" max="5889" width="21" style="64" customWidth="1"/>
    <col min="5890" max="5890" width="23.5703125" style="64" customWidth="1"/>
    <col min="5891" max="5891" width="12.140625" style="64" customWidth="1"/>
    <col min="5892" max="5892" width="3.28515625" style="64" customWidth="1"/>
    <col min="5893" max="5893" width="26.85546875" style="64" customWidth="1"/>
    <col min="5894" max="5894" width="0" style="64" hidden="1" customWidth="1"/>
    <col min="5895" max="5895" width="2.140625" style="64" customWidth="1"/>
    <col min="5896" max="6135" width="9.140625" style="64"/>
    <col min="6136" max="6136" width="2" style="64" customWidth="1"/>
    <col min="6137" max="6138" width="9.140625" style="64"/>
    <col min="6139" max="6139" width="7.28515625" style="64" customWidth="1"/>
    <col min="6140" max="6140" width="2.85546875" style="64" customWidth="1"/>
    <col min="6141" max="6141" width="9.140625" style="64"/>
    <col min="6142" max="6142" width="10.5703125" style="64" customWidth="1"/>
    <col min="6143" max="6143" width="7.85546875" style="64" customWidth="1"/>
    <col min="6144" max="6144" width="2.85546875" style="64" customWidth="1"/>
    <col min="6145" max="6145" width="21" style="64" customWidth="1"/>
    <col min="6146" max="6146" width="23.5703125" style="64" customWidth="1"/>
    <col min="6147" max="6147" width="12.140625" style="64" customWidth="1"/>
    <col min="6148" max="6148" width="3.28515625" style="64" customWidth="1"/>
    <col min="6149" max="6149" width="26.85546875" style="64" customWidth="1"/>
    <col min="6150" max="6150" width="0" style="64" hidden="1" customWidth="1"/>
    <col min="6151" max="6151" width="2.140625" style="64" customWidth="1"/>
    <col min="6152" max="6391" width="9.140625" style="64"/>
    <col min="6392" max="6392" width="2" style="64" customWidth="1"/>
    <col min="6393" max="6394" width="9.140625" style="64"/>
    <col min="6395" max="6395" width="7.28515625" style="64" customWidth="1"/>
    <col min="6396" max="6396" width="2.85546875" style="64" customWidth="1"/>
    <col min="6397" max="6397" width="9.140625" style="64"/>
    <col min="6398" max="6398" width="10.5703125" style="64" customWidth="1"/>
    <col min="6399" max="6399" width="7.85546875" style="64" customWidth="1"/>
    <col min="6400" max="6400" width="2.85546875" style="64" customWidth="1"/>
    <col min="6401" max="6401" width="21" style="64" customWidth="1"/>
    <col min="6402" max="6402" width="23.5703125" style="64" customWidth="1"/>
    <col min="6403" max="6403" width="12.140625" style="64" customWidth="1"/>
    <col min="6404" max="6404" width="3.28515625" style="64" customWidth="1"/>
    <col min="6405" max="6405" width="26.85546875" style="64" customWidth="1"/>
    <col min="6406" max="6406" width="0" style="64" hidden="1" customWidth="1"/>
    <col min="6407" max="6407" width="2.140625" style="64" customWidth="1"/>
    <col min="6408" max="6647" width="9.140625" style="64"/>
    <col min="6648" max="6648" width="2" style="64" customWidth="1"/>
    <col min="6649" max="6650" width="9.140625" style="64"/>
    <col min="6651" max="6651" width="7.28515625" style="64" customWidth="1"/>
    <col min="6652" max="6652" width="2.85546875" style="64" customWidth="1"/>
    <col min="6653" max="6653" width="9.140625" style="64"/>
    <col min="6654" max="6654" width="10.5703125" style="64" customWidth="1"/>
    <col min="6655" max="6655" width="7.85546875" style="64" customWidth="1"/>
    <col min="6656" max="6656" width="2.85546875" style="64" customWidth="1"/>
    <col min="6657" max="6657" width="21" style="64" customWidth="1"/>
    <col min="6658" max="6658" width="23.5703125" style="64" customWidth="1"/>
    <col min="6659" max="6659" width="12.140625" style="64" customWidth="1"/>
    <col min="6660" max="6660" width="3.28515625" style="64" customWidth="1"/>
    <col min="6661" max="6661" width="26.85546875" style="64" customWidth="1"/>
    <col min="6662" max="6662" width="0" style="64" hidden="1" customWidth="1"/>
    <col min="6663" max="6663" width="2.140625" style="64" customWidth="1"/>
    <col min="6664" max="6903" width="9.140625" style="64"/>
    <col min="6904" max="6904" width="2" style="64" customWidth="1"/>
    <col min="6905" max="6906" width="9.140625" style="64"/>
    <col min="6907" max="6907" width="7.28515625" style="64" customWidth="1"/>
    <col min="6908" max="6908" width="2.85546875" style="64" customWidth="1"/>
    <col min="6909" max="6909" width="9.140625" style="64"/>
    <col min="6910" max="6910" width="10.5703125" style="64" customWidth="1"/>
    <col min="6911" max="6911" width="7.85546875" style="64" customWidth="1"/>
    <col min="6912" max="6912" width="2.85546875" style="64" customWidth="1"/>
    <col min="6913" max="6913" width="21" style="64" customWidth="1"/>
    <col min="6914" max="6914" width="23.5703125" style="64" customWidth="1"/>
    <col min="6915" max="6915" width="12.140625" style="64" customWidth="1"/>
    <col min="6916" max="6916" width="3.28515625" style="64" customWidth="1"/>
    <col min="6917" max="6917" width="26.85546875" style="64" customWidth="1"/>
    <col min="6918" max="6918" width="0" style="64" hidden="1" customWidth="1"/>
    <col min="6919" max="6919" width="2.140625" style="64" customWidth="1"/>
    <col min="6920" max="7159" width="9.140625" style="64"/>
    <col min="7160" max="7160" width="2" style="64" customWidth="1"/>
    <col min="7161" max="7162" width="9.140625" style="64"/>
    <col min="7163" max="7163" width="7.28515625" style="64" customWidth="1"/>
    <col min="7164" max="7164" width="2.85546875" style="64" customWidth="1"/>
    <col min="7165" max="7165" width="9.140625" style="64"/>
    <col min="7166" max="7166" width="10.5703125" style="64" customWidth="1"/>
    <col min="7167" max="7167" width="7.85546875" style="64" customWidth="1"/>
    <col min="7168" max="7168" width="2.85546875" style="64" customWidth="1"/>
    <col min="7169" max="7169" width="21" style="64" customWidth="1"/>
    <col min="7170" max="7170" width="23.5703125" style="64" customWidth="1"/>
    <col min="7171" max="7171" width="12.140625" style="64" customWidth="1"/>
    <col min="7172" max="7172" width="3.28515625" style="64" customWidth="1"/>
    <col min="7173" max="7173" width="26.85546875" style="64" customWidth="1"/>
    <col min="7174" max="7174" width="0" style="64" hidden="1" customWidth="1"/>
    <col min="7175" max="7175" width="2.140625" style="64" customWidth="1"/>
    <col min="7176" max="7415" width="9.140625" style="64"/>
    <col min="7416" max="7416" width="2" style="64" customWidth="1"/>
    <col min="7417" max="7418" width="9.140625" style="64"/>
    <col min="7419" max="7419" width="7.28515625" style="64" customWidth="1"/>
    <col min="7420" max="7420" width="2.85546875" style="64" customWidth="1"/>
    <col min="7421" max="7421" width="9.140625" style="64"/>
    <col min="7422" max="7422" width="10.5703125" style="64" customWidth="1"/>
    <col min="7423" max="7423" width="7.85546875" style="64" customWidth="1"/>
    <col min="7424" max="7424" width="2.85546875" style="64" customWidth="1"/>
    <col min="7425" max="7425" width="21" style="64" customWidth="1"/>
    <col min="7426" max="7426" width="23.5703125" style="64" customWidth="1"/>
    <col min="7427" max="7427" width="12.140625" style="64" customWidth="1"/>
    <col min="7428" max="7428" width="3.28515625" style="64" customWidth="1"/>
    <col min="7429" max="7429" width="26.85546875" style="64" customWidth="1"/>
    <col min="7430" max="7430" width="0" style="64" hidden="1" customWidth="1"/>
    <col min="7431" max="7431" width="2.140625" style="64" customWidth="1"/>
    <col min="7432" max="7671" width="9.140625" style="64"/>
    <col min="7672" max="7672" width="2" style="64" customWidth="1"/>
    <col min="7673" max="7674" width="9.140625" style="64"/>
    <col min="7675" max="7675" width="7.28515625" style="64" customWidth="1"/>
    <col min="7676" max="7676" width="2.85546875" style="64" customWidth="1"/>
    <col min="7677" max="7677" width="9.140625" style="64"/>
    <col min="7678" max="7678" width="10.5703125" style="64" customWidth="1"/>
    <col min="7679" max="7679" width="7.85546875" style="64" customWidth="1"/>
    <col min="7680" max="7680" width="2.85546875" style="64" customWidth="1"/>
    <col min="7681" max="7681" width="21" style="64" customWidth="1"/>
    <col min="7682" max="7682" width="23.5703125" style="64" customWidth="1"/>
    <col min="7683" max="7683" width="12.140625" style="64" customWidth="1"/>
    <col min="7684" max="7684" width="3.28515625" style="64" customWidth="1"/>
    <col min="7685" max="7685" width="26.85546875" style="64" customWidth="1"/>
    <col min="7686" max="7686" width="0" style="64" hidden="1" customWidth="1"/>
    <col min="7687" max="7687" width="2.140625" style="64" customWidth="1"/>
    <col min="7688" max="7927" width="9.140625" style="64"/>
    <col min="7928" max="7928" width="2" style="64" customWidth="1"/>
    <col min="7929" max="7930" width="9.140625" style="64"/>
    <col min="7931" max="7931" width="7.28515625" style="64" customWidth="1"/>
    <col min="7932" max="7932" width="2.85546875" style="64" customWidth="1"/>
    <col min="7933" max="7933" width="9.140625" style="64"/>
    <col min="7934" max="7934" width="10.5703125" style="64" customWidth="1"/>
    <col min="7935" max="7935" width="7.85546875" style="64" customWidth="1"/>
    <col min="7936" max="7936" width="2.85546875" style="64" customWidth="1"/>
    <col min="7937" max="7937" width="21" style="64" customWidth="1"/>
    <col min="7938" max="7938" width="23.5703125" style="64" customWidth="1"/>
    <col min="7939" max="7939" width="12.140625" style="64" customWidth="1"/>
    <col min="7940" max="7940" width="3.28515625" style="64" customWidth="1"/>
    <col min="7941" max="7941" width="26.85546875" style="64" customWidth="1"/>
    <col min="7942" max="7942" width="0" style="64" hidden="1" customWidth="1"/>
    <col min="7943" max="7943" width="2.140625" style="64" customWidth="1"/>
    <col min="7944" max="8183" width="9.140625" style="64"/>
    <col min="8184" max="8184" width="2" style="64" customWidth="1"/>
    <col min="8185" max="8186" width="9.140625" style="64"/>
    <col min="8187" max="8187" width="7.28515625" style="64" customWidth="1"/>
    <col min="8188" max="8188" width="2.85546875" style="64" customWidth="1"/>
    <col min="8189" max="8189" width="9.140625" style="64"/>
    <col min="8190" max="8190" width="10.5703125" style="64" customWidth="1"/>
    <col min="8191" max="8191" width="7.85546875" style="64" customWidth="1"/>
    <col min="8192" max="8192" width="2.85546875" style="64" customWidth="1"/>
    <col min="8193" max="8193" width="21" style="64" customWidth="1"/>
    <col min="8194" max="8194" width="23.5703125" style="64" customWidth="1"/>
    <col min="8195" max="8195" width="12.140625" style="64" customWidth="1"/>
    <col min="8196" max="8196" width="3.28515625" style="64" customWidth="1"/>
    <col min="8197" max="8197" width="26.85546875" style="64" customWidth="1"/>
    <col min="8198" max="8198" width="0" style="64" hidden="1" customWidth="1"/>
    <col min="8199" max="8199" width="2.140625" style="64" customWidth="1"/>
    <col min="8200" max="8439" width="9.140625" style="64"/>
    <col min="8440" max="8440" width="2" style="64" customWidth="1"/>
    <col min="8441" max="8442" width="9.140625" style="64"/>
    <col min="8443" max="8443" width="7.28515625" style="64" customWidth="1"/>
    <col min="8444" max="8444" width="2.85546875" style="64" customWidth="1"/>
    <col min="8445" max="8445" width="9.140625" style="64"/>
    <col min="8446" max="8446" width="10.5703125" style="64" customWidth="1"/>
    <col min="8447" max="8447" width="7.85546875" style="64" customWidth="1"/>
    <col min="8448" max="8448" width="2.85546875" style="64" customWidth="1"/>
    <col min="8449" max="8449" width="21" style="64" customWidth="1"/>
    <col min="8450" max="8450" width="23.5703125" style="64" customWidth="1"/>
    <col min="8451" max="8451" width="12.140625" style="64" customWidth="1"/>
    <col min="8452" max="8452" width="3.28515625" style="64" customWidth="1"/>
    <col min="8453" max="8453" width="26.85546875" style="64" customWidth="1"/>
    <col min="8454" max="8454" width="0" style="64" hidden="1" customWidth="1"/>
    <col min="8455" max="8455" width="2.140625" style="64" customWidth="1"/>
    <col min="8456" max="8695" width="9.140625" style="64"/>
    <col min="8696" max="8696" width="2" style="64" customWidth="1"/>
    <col min="8697" max="8698" width="9.140625" style="64"/>
    <col min="8699" max="8699" width="7.28515625" style="64" customWidth="1"/>
    <col min="8700" max="8700" width="2.85546875" style="64" customWidth="1"/>
    <col min="8701" max="8701" width="9.140625" style="64"/>
    <col min="8702" max="8702" width="10.5703125" style="64" customWidth="1"/>
    <col min="8703" max="8703" width="7.85546875" style="64" customWidth="1"/>
    <col min="8704" max="8704" width="2.85546875" style="64" customWidth="1"/>
    <col min="8705" max="8705" width="21" style="64" customWidth="1"/>
    <col min="8706" max="8706" width="23.5703125" style="64" customWidth="1"/>
    <col min="8707" max="8707" width="12.140625" style="64" customWidth="1"/>
    <col min="8708" max="8708" width="3.28515625" style="64" customWidth="1"/>
    <col min="8709" max="8709" width="26.85546875" style="64" customWidth="1"/>
    <col min="8710" max="8710" width="0" style="64" hidden="1" customWidth="1"/>
    <col min="8711" max="8711" width="2.140625" style="64" customWidth="1"/>
    <col min="8712" max="8951" width="9.140625" style="64"/>
    <col min="8952" max="8952" width="2" style="64" customWidth="1"/>
    <col min="8953" max="8954" width="9.140625" style="64"/>
    <col min="8955" max="8955" width="7.28515625" style="64" customWidth="1"/>
    <col min="8956" max="8956" width="2.85546875" style="64" customWidth="1"/>
    <col min="8957" max="8957" width="9.140625" style="64"/>
    <col min="8958" max="8958" width="10.5703125" style="64" customWidth="1"/>
    <col min="8959" max="8959" width="7.85546875" style="64" customWidth="1"/>
    <col min="8960" max="8960" width="2.85546875" style="64" customWidth="1"/>
    <col min="8961" max="8961" width="21" style="64" customWidth="1"/>
    <col min="8962" max="8962" width="23.5703125" style="64" customWidth="1"/>
    <col min="8963" max="8963" width="12.140625" style="64" customWidth="1"/>
    <col min="8964" max="8964" width="3.28515625" style="64" customWidth="1"/>
    <col min="8965" max="8965" width="26.85546875" style="64" customWidth="1"/>
    <col min="8966" max="8966" width="0" style="64" hidden="1" customWidth="1"/>
    <col min="8967" max="8967" width="2.140625" style="64" customWidth="1"/>
    <col min="8968" max="9207" width="9.140625" style="64"/>
    <col min="9208" max="9208" width="2" style="64" customWidth="1"/>
    <col min="9209" max="9210" width="9.140625" style="64"/>
    <col min="9211" max="9211" width="7.28515625" style="64" customWidth="1"/>
    <col min="9212" max="9212" width="2.85546875" style="64" customWidth="1"/>
    <col min="9213" max="9213" width="9.140625" style="64"/>
    <col min="9214" max="9214" width="10.5703125" style="64" customWidth="1"/>
    <col min="9215" max="9215" width="7.85546875" style="64" customWidth="1"/>
    <col min="9216" max="9216" width="2.85546875" style="64" customWidth="1"/>
    <col min="9217" max="9217" width="21" style="64" customWidth="1"/>
    <col min="9218" max="9218" width="23.5703125" style="64" customWidth="1"/>
    <col min="9219" max="9219" width="12.140625" style="64" customWidth="1"/>
    <col min="9220" max="9220" width="3.28515625" style="64" customWidth="1"/>
    <col min="9221" max="9221" width="26.85546875" style="64" customWidth="1"/>
    <col min="9222" max="9222" width="0" style="64" hidden="1" customWidth="1"/>
    <col min="9223" max="9223" width="2.140625" style="64" customWidth="1"/>
    <col min="9224" max="9463" width="9.140625" style="64"/>
    <col min="9464" max="9464" width="2" style="64" customWidth="1"/>
    <col min="9465" max="9466" width="9.140625" style="64"/>
    <col min="9467" max="9467" width="7.28515625" style="64" customWidth="1"/>
    <col min="9468" max="9468" width="2.85546875" style="64" customWidth="1"/>
    <col min="9469" max="9469" width="9.140625" style="64"/>
    <col min="9470" max="9470" width="10.5703125" style="64" customWidth="1"/>
    <col min="9471" max="9471" width="7.85546875" style="64" customWidth="1"/>
    <col min="9472" max="9472" width="2.85546875" style="64" customWidth="1"/>
    <col min="9473" max="9473" width="21" style="64" customWidth="1"/>
    <col min="9474" max="9474" width="23.5703125" style="64" customWidth="1"/>
    <col min="9475" max="9475" width="12.140625" style="64" customWidth="1"/>
    <col min="9476" max="9476" width="3.28515625" style="64" customWidth="1"/>
    <col min="9477" max="9477" width="26.85546875" style="64" customWidth="1"/>
    <col min="9478" max="9478" width="0" style="64" hidden="1" customWidth="1"/>
    <col min="9479" max="9479" width="2.140625" style="64" customWidth="1"/>
    <col min="9480" max="9719" width="9.140625" style="64"/>
    <col min="9720" max="9720" width="2" style="64" customWidth="1"/>
    <col min="9721" max="9722" width="9.140625" style="64"/>
    <col min="9723" max="9723" width="7.28515625" style="64" customWidth="1"/>
    <col min="9724" max="9724" width="2.85546875" style="64" customWidth="1"/>
    <col min="9725" max="9725" width="9.140625" style="64"/>
    <col min="9726" max="9726" width="10.5703125" style="64" customWidth="1"/>
    <col min="9727" max="9727" width="7.85546875" style="64" customWidth="1"/>
    <col min="9728" max="9728" width="2.85546875" style="64" customWidth="1"/>
    <col min="9729" max="9729" width="21" style="64" customWidth="1"/>
    <col min="9730" max="9730" width="23.5703125" style="64" customWidth="1"/>
    <col min="9731" max="9731" width="12.140625" style="64" customWidth="1"/>
    <col min="9732" max="9732" width="3.28515625" style="64" customWidth="1"/>
    <col min="9733" max="9733" width="26.85546875" style="64" customWidth="1"/>
    <col min="9734" max="9734" width="0" style="64" hidden="1" customWidth="1"/>
    <col min="9735" max="9735" width="2.140625" style="64" customWidth="1"/>
    <col min="9736" max="9975" width="9.140625" style="64"/>
    <col min="9976" max="9976" width="2" style="64" customWidth="1"/>
    <col min="9977" max="9978" width="9.140625" style="64"/>
    <col min="9979" max="9979" width="7.28515625" style="64" customWidth="1"/>
    <col min="9980" max="9980" width="2.85546875" style="64" customWidth="1"/>
    <col min="9981" max="9981" width="9.140625" style="64"/>
    <col min="9982" max="9982" width="10.5703125" style="64" customWidth="1"/>
    <col min="9983" max="9983" width="7.85546875" style="64" customWidth="1"/>
    <col min="9984" max="9984" width="2.85546875" style="64" customWidth="1"/>
    <col min="9985" max="9985" width="21" style="64" customWidth="1"/>
    <col min="9986" max="9986" width="23.5703125" style="64" customWidth="1"/>
    <col min="9987" max="9987" width="12.140625" style="64" customWidth="1"/>
    <col min="9988" max="9988" width="3.28515625" style="64" customWidth="1"/>
    <col min="9989" max="9989" width="26.85546875" style="64" customWidth="1"/>
    <col min="9990" max="9990" width="0" style="64" hidden="1" customWidth="1"/>
    <col min="9991" max="9991" width="2.140625" style="64" customWidth="1"/>
    <col min="9992" max="10231" width="9.140625" style="64"/>
    <col min="10232" max="10232" width="2" style="64" customWidth="1"/>
    <col min="10233" max="10234" width="9.140625" style="64"/>
    <col min="10235" max="10235" width="7.28515625" style="64" customWidth="1"/>
    <col min="10236" max="10236" width="2.85546875" style="64" customWidth="1"/>
    <col min="10237" max="10237" width="9.140625" style="64"/>
    <col min="10238" max="10238" width="10.5703125" style="64" customWidth="1"/>
    <col min="10239" max="10239" width="7.85546875" style="64" customWidth="1"/>
    <col min="10240" max="10240" width="2.85546875" style="64" customWidth="1"/>
    <col min="10241" max="10241" width="21" style="64" customWidth="1"/>
    <col min="10242" max="10242" width="23.5703125" style="64" customWidth="1"/>
    <col min="10243" max="10243" width="12.140625" style="64" customWidth="1"/>
    <col min="10244" max="10244" width="3.28515625" style="64" customWidth="1"/>
    <col min="10245" max="10245" width="26.85546875" style="64" customWidth="1"/>
    <col min="10246" max="10246" width="0" style="64" hidden="1" customWidth="1"/>
    <col min="10247" max="10247" width="2.140625" style="64" customWidth="1"/>
    <col min="10248" max="10487" width="9.140625" style="64"/>
    <col min="10488" max="10488" width="2" style="64" customWidth="1"/>
    <col min="10489" max="10490" width="9.140625" style="64"/>
    <col min="10491" max="10491" width="7.28515625" style="64" customWidth="1"/>
    <col min="10492" max="10492" width="2.85546875" style="64" customWidth="1"/>
    <col min="10493" max="10493" width="9.140625" style="64"/>
    <col min="10494" max="10494" width="10.5703125" style="64" customWidth="1"/>
    <col min="10495" max="10495" width="7.85546875" style="64" customWidth="1"/>
    <col min="10496" max="10496" width="2.85546875" style="64" customWidth="1"/>
    <col min="10497" max="10497" width="21" style="64" customWidth="1"/>
    <col min="10498" max="10498" width="23.5703125" style="64" customWidth="1"/>
    <col min="10499" max="10499" width="12.140625" style="64" customWidth="1"/>
    <col min="10500" max="10500" width="3.28515625" style="64" customWidth="1"/>
    <col min="10501" max="10501" width="26.85546875" style="64" customWidth="1"/>
    <col min="10502" max="10502" width="0" style="64" hidden="1" customWidth="1"/>
    <col min="10503" max="10503" width="2.140625" style="64" customWidth="1"/>
    <col min="10504" max="10743" width="9.140625" style="64"/>
    <col min="10744" max="10744" width="2" style="64" customWidth="1"/>
    <col min="10745" max="10746" width="9.140625" style="64"/>
    <col min="10747" max="10747" width="7.28515625" style="64" customWidth="1"/>
    <col min="10748" max="10748" width="2.85546875" style="64" customWidth="1"/>
    <col min="10749" max="10749" width="9.140625" style="64"/>
    <col min="10750" max="10750" width="10.5703125" style="64" customWidth="1"/>
    <col min="10751" max="10751" width="7.85546875" style="64" customWidth="1"/>
    <col min="10752" max="10752" width="2.85546875" style="64" customWidth="1"/>
    <col min="10753" max="10753" width="21" style="64" customWidth="1"/>
    <col min="10754" max="10754" width="23.5703125" style="64" customWidth="1"/>
    <col min="10755" max="10755" width="12.140625" style="64" customWidth="1"/>
    <col min="10756" max="10756" width="3.28515625" style="64" customWidth="1"/>
    <col min="10757" max="10757" width="26.85546875" style="64" customWidth="1"/>
    <col min="10758" max="10758" width="0" style="64" hidden="1" customWidth="1"/>
    <col min="10759" max="10759" width="2.140625" style="64" customWidth="1"/>
    <col min="10760" max="10999" width="9.140625" style="64"/>
    <col min="11000" max="11000" width="2" style="64" customWidth="1"/>
    <col min="11001" max="11002" width="9.140625" style="64"/>
    <col min="11003" max="11003" width="7.28515625" style="64" customWidth="1"/>
    <col min="11004" max="11004" width="2.85546875" style="64" customWidth="1"/>
    <col min="11005" max="11005" width="9.140625" style="64"/>
    <col min="11006" max="11006" width="10.5703125" style="64" customWidth="1"/>
    <col min="11007" max="11007" width="7.85546875" style="64" customWidth="1"/>
    <col min="11008" max="11008" width="2.85546875" style="64" customWidth="1"/>
    <col min="11009" max="11009" width="21" style="64" customWidth="1"/>
    <col min="11010" max="11010" width="23.5703125" style="64" customWidth="1"/>
    <col min="11011" max="11011" width="12.140625" style="64" customWidth="1"/>
    <col min="11012" max="11012" width="3.28515625" style="64" customWidth="1"/>
    <col min="11013" max="11013" width="26.85546875" style="64" customWidth="1"/>
    <col min="11014" max="11014" width="0" style="64" hidden="1" customWidth="1"/>
    <col min="11015" max="11015" width="2.140625" style="64" customWidth="1"/>
    <col min="11016" max="11255" width="9.140625" style="64"/>
    <col min="11256" max="11256" width="2" style="64" customWidth="1"/>
    <col min="11257" max="11258" width="9.140625" style="64"/>
    <col min="11259" max="11259" width="7.28515625" style="64" customWidth="1"/>
    <col min="11260" max="11260" width="2.85546875" style="64" customWidth="1"/>
    <col min="11261" max="11261" width="9.140625" style="64"/>
    <col min="11262" max="11262" width="10.5703125" style="64" customWidth="1"/>
    <col min="11263" max="11263" width="7.85546875" style="64" customWidth="1"/>
    <col min="11264" max="11264" width="2.85546875" style="64" customWidth="1"/>
    <col min="11265" max="11265" width="21" style="64" customWidth="1"/>
    <col min="11266" max="11266" width="23.5703125" style="64" customWidth="1"/>
    <col min="11267" max="11267" width="12.140625" style="64" customWidth="1"/>
    <col min="11268" max="11268" width="3.28515625" style="64" customWidth="1"/>
    <col min="11269" max="11269" width="26.85546875" style="64" customWidth="1"/>
    <col min="11270" max="11270" width="0" style="64" hidden="1" customWidth="1"/>
    <col min="11271" max="11271" width="2.140625" style="64" customWidth="1"/>
    <col min="11272" max="11511" width="9.140625" style="64"/>
    <col min="11512" max="11512" width="2" style="64" customWidth="1"/>
    <col min="11513" max="11514" width="9.140625" style="64"/>
    <col min="11515" max="11515" width="7.28515625" style="64" customWidth="1"/>
    <col min="11516" max="11516" width="2.85546875" style="64" customWidth="1"/>
    <col min="11517" max="11517" width="9.140625" style="64"/>
    <col min="11518" max="11518" width="10.5703125" style="64" customWidth="1"/>
    <col min="11519" max="11519" width="7.85546875" style="64" customWidth="1"/>
    <col min="11520" max="11520" width="2.85546875" style="64" customWidth="1"/>
    <col min="11521" max="11521" width="21" style="64" customWidth="1"/>
    <col min="11522" max="11522" width="23.5703125" style="64" customWidth="1"/>
    <col min="11523" max="11523" width="12.140625" style="64" customWidth="1"/>
    <col min="11524" max="11524" width="3.28515625" style="64" customWidth="1"/>
    <col min="11525" max="11525" width="26.85546875" style="64" customWidth="1"/>
    <col min="11526" max="11526" width="0" style="64" hidden="1" customWidth="1"/>
    <col min="11527" max="11527" width="2.140625" style="64" customWidth="1"/>
    <col min="11528" max="11767" width="9.140625" style="64"/>
    <col min="11768" max="11768" width="2" style="64" customWidth="1"/>
    <col min="11769" max="11770" width="9.140625" style="64"/>
    <col min="11771" max="11771" width="7.28515625" style="64" customWidth="1"/>
    <col min="11772" max="11772" width="2.85546875" style="64" customWidth="1"/>
    <col min="11773" max="11773" width="9.140625" style="64"/>
    <col min="11774" max="11774" width="10.5703125" style="64" customWidth="1"/>
    <col min="11775" max="11775" width="7.85546875" style="64" customWidth="1"/>
    <col min="11776" max="11776" width="2.85546875" style="64" customWidth="1"/>
    <col min="11777" max="11777" width="21" style="64" customWidth="1"/>
    <col min="11778" max="11778" width="23.5703125" style="64" customWidth="1"/>
    <col min="11779" max="11779" width="12.140625" style="64" customWidth="1"/>
    <col min="11780" max="11780" width="3.28515625" style="64" customWidth="1"/>
    <col min="11781" max="11781" width="26.85546875" style="64" customWidth="1"/>
    <col min="11782" max="11782" width="0" style="64" hidden="1" customWidth="1"/>
    <col min="11783" max="11783" width="2.140625" style="64" customWidth="1"/>
    <col min="11784" max="12023" width="9.140625" style="64"/>
    <col min="12024" max="12024" width="2" style="64" customWidth="1"/>
    <col min="12025" max="12026" width="9.140625" style="64"/>
    <col min="12027" max="12027" width="7.28515625" style="64" customWidth="1"/>
    <col min="12028" max="12028" width="2.85546875" style="64" customWidth="1"/>
    <col min="12029" max="12029" width="9.140625" style="64"/>
    <col min="12030" max="12030" width="10.5703125" style="64" customWidth="1"/>
    <col min="12031" max="12031" width="7.85546875" style="64" customWidth="1"/>
    <col min="12032" max="12032" width="2.85546875" style="64" customWidth="1"/>
    <col min="12033" max="12033" width="21" style="64" customWidth="1"/>
    <col min="12034" max="12034" width="23.5703125" style="64" customWidth="1"/>
    <col min="12035" max="12035" width="12.140625" style="64" customWidth="1"/>
    <col min="12036" max="12036" width="3.28515625" style="64" customWidth="1"/>
    <col min="12037" max="12037" width="26.85546875" style="64" customWidth="1"/>
    <col min="12038" max="12038" width="0" style="64" hidden="1" customWidth="1"/>
    <col min="12039" max="12039" width="2.140625" style="64" customWidth="1"/>
    <col min="12040" max="12279" width="9.140625" style="64"/>
    <col min="12280" max="12280" width="2" style="64" customWidth="1"/>
    <col min="12281" max="12282" width="9.140625" style="64"/>
    <col min="12283" max="12283" width="7.28515625" style="64" customWidth="1"/>
    <col min="12284" max="12284" width="2.85546875" style="64" customWidth="1"/>
    <col min="12285" max="12285" width="9.140625" style="64"/>
    <col min="12286" max="12286" width="10.5703125" style="64" customWidth="1"/>
    <col min="12287" max="12287" width="7.85546875" style="64" customWidth="1"/>
    <col min="12288" max="12288" width="2.85546875" style="64" customWidth="1"/>
    <col min="12289" max="12289" width="21" style="64" customWidth="1"/>
    <col min="12290" max="12290" width="23.5703125" style="64" customWidth="1"/>
    <col min="12291" max="12291" width="12.140625" style="64" customWidth="1"/>
    <col min="12292" max="12292" width="3.28515625" style="64" customWidth="1"/>
    <col min="12293" max="12293" width="26.85546875" style="64" customWidth="1"/>
    <col min="12294" max="12294" width="0" style="64" hidden="1" customWidth="1"/>
    <col min="12295" max="12295" width="2.140625" style="64" customWidth="1"/>
    <col min="12296" max="12535" width="9.140625" style="64"/>
    <col min="12536" max="12536" width="2" style="64" customWidth="1"/>
    <col min="12537" max="12538" width="9.140625" style="64"/>
    <col min="12539" max="12539" width="7.28515625" style="64" customWidth="1"/>
    <col min="12540" max="12540" width="2.85546875" style="64" customWidth="1"/>
    <col min="12541" max="12541" width="9.140625" style="64"/>
    <col min="12542" max="12542" width="10.5703125" style="64" customWidth="1"/>
    <col min="12543" max="12543" width="7.85546875" style="64" customWidth="1"/>
    <col min="12544" max="12544" width="2.85546875" style="64" customWidth="1"/>
    <col min="12545" max="12545" width="21" style="64" customWidth="1"/>
    <col min="12546" max="12546" width="23.5703125" style="64" customWidth="1"/>
    <col min="12547" max="12547" width="12.140625" style="64" customWidth="1"/>
    <col min="12548" max="12548" width="3.28515625" style="64" customWidth="1"/>
    <col min="12549" max="12549" width="26.85546875" style="64" customWidth="1"/>
    <col min="12550" max="12550" width="0" style="64" hidden="1" customWidth="1"/>
    <col min="12551" max="12551" width="2.140625" style="64" customWidth="1"/>
    <col min="12552" max="12791" width="9.140625" style="64"/>
    <col min="12792" max="12792" width="2" style="64" customWidth="1"/>
    <col min="12793" max="12794" width="9.140625" style="64"/>
    <col min="12795" max="12795" width="7.28515625" style="64" customWidth="1"/>
    <col min="12796" max="12796" width="2.85546875" style="64" customWidth="1"/>
    <col min="12797" max="12797" width="9.140625" style="64"/>
    <col min="12798" max="12798" width="10.5703125" style="64" customWidth="1"/>
    <col min="12799" max="12799" width="7.85546875" style="64" customWidth="1"/>
    <col min="12800" max="12800" width="2.85546875" style="64" customWidth="1"/>
    <col min="12801" max="12801" width="21" style="64" customWidth="1"/>
    <col min="12802" max="12802" width="23.5703125" style="64" customWidth="1"/>
    <col min="12803" max="12803" width="12.140625" style="64" customWidth="1"/>
    <col min="12804" max="12804" width="3.28515625" style="64" customWidth="1"/>
    <col min="12805" max="12805" width="26.85546875" style="64" customWidth="1"/>
    <col min="12806" max="12806" width="0" style="64" hidden="1" customWidth="1"/>
    <col min="12807" max="12807" width="2.140625" style="64" customWidth="1"/>
    <col min="12808" max="13047" width="9.140625" style="64"/>
    <col min="13048" max="13048" width="2" style="64" customWidth="1"/>
    <col min="13049" max="13050" width="9.140625" style="64"/>
    <col min="13051" max="13051" width="7.28515625" style="64" customWidth="1"/>
    <col min="13052" max="13052" width="2.85546875" style="64" customWidth="1"/>
    <col min="13053" max="13053" width="9.140625" style="64"/>
    <col min="13054" max="13054" width="10.5703125" style="64" customWidth="1"/>
    <col min="13055" max="13055" width="7.85546875" style="64" customWidth="1"/>
    <col min="13056" max="13056" width="2.85546875" style="64" customWidth="1"/>
    <col min="13057" max="13057" width="21" style="64" customWidth="1"/>
    <col min="13058" max="13058" width="23.5703125" style="64" customWidth="1"/>
    <col min="13059" max="13059" width="12.140625" style="64" customWidth="1"/>
    <col min="13060" max="13060" width="3.28515625" style="64" customWidth="1"/>
    <col min="13061" max="13061" width="26.85546875" style="64" customWidth="1"/>
    <col min="13062" max="13062" width="0" style="64" hidden="1" customWidth="1"/>
    <col min="13063" max="13063" width="2.140625" style="64" customWidth="1"/>
    <col min="13064" max="13303" width="9.140625" style="64"/>
    <col min="13304" max="13304" width="2" style="64" customWidth="1"/>
    <col min="13305" max="13306" width="9.140625" style="64"/>
    <col min="13307" max="13307" width="7.28515625" style="64" customWidth="1"/>
    <col min="13308" max="13308" width="2.85546875" style="64" customWidth="1"/>
    <col min="13309" max="13309" width="9.140625" style="64"/>
    <col min="13310" max="13310" width="10.5703125" style="64" customWidth="1"/>
    <col min="13311" max="13311" width="7.85546875" style="64" customWidth="1"/>
    <col min="13312" max="13312" width="2.85546875" style="64" customWidth="1"/>
    <col min="13313" max="13313" width="21" style="64" customWidth="1"/>
    <col min="13314" max="13314" width="23.5703125" style="64" customWidth="1"/>
    <col min="13315" max="13315" width="12.140625" style="64" customWidth="1"/>
    <col min="13316" max="13316" width="3.28515625" style="64" customWidth="1"/>
    <col min="13317" max="13317" width="26.85546875" style="64" customWidth="1"/>
    <col min="13318" max="13318" width="0" style="64" hidden="1" customWidth="1"/>
    <col min="13319" max="13319" width="2.140625" style="64" customWidth="1"/>
    <col min="13320" max="13559" width="9.140625" style="64"/>
    <col min="13560" max="13560" width="2" style="64" customWidth="1"/>
    <col min="13561" max="13562" width="9.140625" style="64"/>
    <col min="13563" max="13563" width="7.28515625" style="64" customWidth="1"/>
    <col min="13564" max="13564" width="2.85546875" style="64" customWidth="1"/>
    <col min="13565" max="13565" width="9.140625" style="64"/>
    <col min="13566" max="13566" width="10.5703125" style="64" customWidth="1"/>
    <col min="13567" max="13567" width="7.85546875" style="64" customWidth="1"/>
    <col min="13568" max="13568" width="2.85546875" style="64" customWidth="1"/>
    <col min="13569" max="13569" width="21" style="64" customWidth="1"/>
    <col min="13570" max="13570" width="23.5703125" style="64" customWidth="1"/>
    <col min="13571" max="13571" width="12.140625" style="64" customWidth="1"/>
    <col min="13572" max="13572" width="3.28515625" style="64" customWidth="1"/>
    <col min="13573" max="13573" width="26.85546875" style="64" customWidth="1"/>
    <col min="13574" max="13574" width="0" style="64" hidden="1" customWidth="1"/>
    <col min="13575" max="13575" width="2.140625" style="64" customWidth="1"/>
    <col min="13576" max="13815" width="9.140625" style="64"/>
    <col min="13816" max="13816" width="2" style="64" customWidth="1"/>
    <col min="13817" max="13818" width="9.140625" style="64"/>
    <col min="13819" max="13819" width="7.28515625" style="64" customWidth="1"/>
    <col min="13820" max="13820" width="2.85546875" style="64" customWidth="1"/>
    <col min="13821" max="13821" width="9.140625" style="64"/>
    <col min="13822" max="13822" width="10.5703125" style="64" customWidth="1"/>
    <col min="13823" max="13823" width="7.85546875" style="64" customWidth="1"/>
    <col min="13824" max="13824" width="2.85546875" style="64" customWidth="1"/>
    <col min="13825" max="13825" width="21" style="64" customWidth="1"/>
    <col min="13826" max="13826" width="23.5703125" style="64" customWidth="1"/>
    <col min="13827" max="13827" width="12.140625" style="64" customWidth="1"/>
    <col min="13828" max="13828" width="3.28515625" style="64" customWidth="1"/>
    <col min="13829" max="13829" width="26.85546875" style="64" customWidth="1"/>
    <col min="13830" max="13830" width="0" style="64" hidden="1" customWidth="1"/>
    <col min="13831" max="13831" width="2.140625" style="64" customWidth="1"/>
    <col min="13832" max="14071" width="9.140625" style="64"/>
    <col min="14072" max="14072" width="2" style="64" customWidth="1"/>
    <col min="14073" max="14074" width="9.140625" style="64"/>
    <col min="14075" max="14075" width="7.28515625" style="64" customWidth="1"/>
    <col min="14076" max="14076" width="2.85546875" style="64" customWidth="1"/>
    <col min="14077" max="14077" width="9.140625" style="64"/>
    <col min="14078" max="14078" width="10.5703125" style="64" customWidth="1"/>
    <col min="14079" max="14079" width="7.85546875" style="64" customWidth="1"/>
    <col min="14080" max="14080" width="2.85546875" style="64" customWidth="1"/>
    <col min="14081" max="14081" width="21" style="64" customWidth="1"/>
    <col min="14082" max="14082" width="23.5703125" style="64" customWidth="1"/>
    <col min="14083" max="14083" width="12.140625" style="64" customWidth="1"/>
    <col min="14084" max="14084" width="3.28515625" style="64" customWidth="1"/>
    <col min="14085" max="14085" width="26.85546875" style="64" customWidth="1"/>
    <col min="14086" max="14086" width="0" style="64" hidden="1" customWidth="1"/>
    <col min="14087" max="14087" width="2.140625" style="64" customWidth="1"/>
    <col min="14088" max="14327" width="9.140625" style="64"/>
    <col min="14328" max="14328" width="2" style="64" customWidth="1"/>
    <col min="14329" max="14330" width="9.140625" style="64"/>
    <col min="14331" max="14331" width="7.28515625" style="64" customWidth="1"/>
    <col min="14332" max="14332" width="2.85546875" style="64" customWidth="1"/>
    <col min="14333" max="14333" width="9.140625" style="64"/>
    <col min="14334" max="14334" width="10.5703125" style="64" customWidth="1"/>
    <col min="14335" max="14335" width="7.85546875" style="64" customWidth="1"/>
    <col min="14336" max="14336" width="2.85546875" style="64" customWidth="1"/>
    <col min="14337" max="14337" width="21" style="64" customWidth="1"/>
    <col min="14338" max="14338" width="23.5703125" style="64" customWidth="1"/>
    <col min="14339" max="14339" width="12.140625" style="64" customWidth="1"/>
    <col min="14340" max="14340" width="3.28515625" style="64" customWidth="1"/>
    <col min="14341" max="14341" width="26.85546875" style="64" customWidth="1"/>
    <col min="14342" max="14342" width="0" style="64" hidden="1" customWidth="1"/>
    <col min="14343" max="14343" width="2.140625" style="64" customWidth="1"/>
    <col min="14344" max="14583" width="9.140625" style="64"/>
    <col min="14584" max="14584" width="2" style="64" customWidth="1"/>
    <col min="14585" max="14586" width="9.140625" style="64"/>
    <col min="14587" max="14587" width="7.28515625" style="64" customWidth="1"/>
    <col min="14588" max="14588" width="2.85546875" style="64" customWidth="1"/>
    <col min="14589" max="14589" width="9.140625" style="64"/>
    <col min="14590" max="14590" width="10.5703125" style="64" customWidth="1"/>
    <col min="14591" max="14591" width="7.85546875" style="64" customWidth="1"/>
    <col min="14592" max="14592" width="2.85546875" style="64" customWidth="1"/>
    <col min="14593" max="14593" width="21" style="64" customWidth="1"/>
    <col min="14594" max="14594" width="23.5703125" style="64" customWidth="1"/>
    <col min="14595" max="14595" width="12.140625" style="64" customWidth="1"/>
    <col min="14596" max="14596" width="3.28515625" style="64" customWidth="1"/>
    <col min="14597" max="14597" width="26.85546875" style="64" customWidth="1"/>
    <col min="14598" max="14598" width="0" style="64" hidden="1" customWidth="1"/>
    <col min="14599" max="14599" width="2.140625" style="64" customWidth="1"/>
    <col min="14600" max="14839" width="9.140625" style="64"/>
    <col min="14840" max="14840" width="2" style="64" customWidth="1"/>
    <col min="14841" max="14842" width="9.140625" style="64"/>
    <col min="14843" max="14843" width="7.28515625" style="64" customWidth="1"/>
    <col min="14844" max="14844" width="2.85546875" style="64" customWidth="1"/>
    <col min="14845" max="14845" width="9.140625" style="64"/>
    <col min="14846" max="14846" width="10.5703125" style="64" customWidth="1"/>
    <col min="14847" max="14847" width="7.85546875" style="64" customWidth="1"/>
    <col min="14848" max="14848" width="2.85546875" style="64" customWidth="1"/>
    <col min="14849" max="14849" width="21" style="64" customWidth="1"/>
    <col min="14850" max="14850" width="23.5703125" style="64" customWidth="1"/>
    <col min="14851" max="14851" width="12.140625" style="64" customWidth="1"/>
    <col min="14852" max="14852" width="3.28515625" style="64" customWidth="1"/>
    <col min="14853" max="14853" width="26.85546875" style="64" customWidth="1"/>
    <col min="14854" max="14854" width="0" style="64" hidden="1" customWidth="1"/>
    <col min="14855" max="14855" width="2.140625" style="64" customWidth="1"/>
    <col min="14856" max="15095" width="9.140625" style="64"/>
    <col min="15096" max="15096" width="2" style="64" customWidth="1"/>
    <col min="15097" max="15098" width="9.140625" style="64"/>
    <col min="15099" max="15099" width="7.28515625" style="64" customWidth="1"/>
    <col min="15100" max="15100" width="2.85546875" style="64" customWidth="1"/>
    <col min="15101" max="15101" width="9.140625" style="64"/>
    <col min="15102" max="15102" width="10.5703125" style="64" customWidth="1"/>
    <col min="15103" max="15103" width="7.85546875" style="64" customWidth="1"/>
    <col min="15104" max="15104" width="2.85546875" style="64" customWidth="1"/>
    <col min="15105" max="15105" width="21" style="64" customWidth="1"/>
    <col min="15106" max="15106" width="23.5703125" style="64" customWidth="1"/>
    <col min="15107" max="15107" width="12.140625" style="64" customWidth="1"/>
    <col min="15108" max="15108" width="3.28515625" style="64" customWidth="1"/>
    <col min="15109" max="15109" width="26.85546875" style="64" customWidth="1"/>
    <col min="15110" max="15110" width="0" style="64" hidden="1" customWidth="1"/>
    <col min="15111" max="15111" width="2.140625" style="64" customWidth="1"/>
    <col min="15112" max="15351" width="9.140625" style="64"/>
    <col min="15352" max="15352" width="2" style="64" customWidth="1"/>
    <col min="15353" max="15354" width="9.140625" style="64"/>
    <col min="15355" max="15355" width="7.28515625" style="64" customWidth="1"/>
    <col min="15356" max="15356" width="2.85546875" style="64" customWidth="1"/>
    <col min="15357" max="15357" width="9.140625" style="64"/>
    <col min="15358" max="15358" width="10.5703125" style="64" customWidth="1"/>
    <col min="15359" max="15359" width="7.85546875" style="64" customWidth="1"/>
    <col min="15360" max="15360" width="2.85546875" style="64" customWidth="1"/>
    <col min="15361" max="15361" width="21" style="64" customWidth="1"/>
    <col min="15362" max="15362" width="23.5703125" style="64" customWidth="1"/>
    <col min="15363" max="15363" width="12.140625" style="64" customWidth="1"/>
    <col min="15364" max="15364" width="3.28515625" style="64" customWidth="1"/>
    <col min="15365" max="15365" width="26.85546875" style="64" customWidth="1"/>
    <col min="15366" max="15366" width="0" style="64" hidden="1" customWidth="1"/>
    <col min="15367" max="15367" width="2.140625" style="64" customWidth="1"/>
    <col min="15368" max="15607" width="9.140625" style="64"/>
    <col min="15608" max="15608" width="2" style="64" customWidth="1"/>
    <col min="15609" max="15610" width="9.140625" style="64"/>
    <col min="15611" max="15611" width="7.28515625" style="64" customWidth="1"/>
    <col min="15612" max="15612" width="2.85546875" style="64" customWidth="1"/>
    <col min="15613" max="15613" width="9.140625" style="64"/>
    <col min="15614" max="15614" width="10.5703125" style="64" customWidth="1"/>
    <col min="15615" max="15615" width="7.85546875" style="64" customWidth="1"/>
    <col min="15616" max="15616" width="2.85546875" style="64" customWidth="1"/>
    <col min="15617" max="15617" width="21" style="64" customWidth="1"/>
    <col min="15618" max="15618" width="23.5703125" style="64" customWidth="1"/>
    <col min="15619" max="15619" width="12.140625" style="64" customWidth="1"/>
    <col min="15620" max="15620" width="3.28515625" style="64" customWidth="1"/>
    <col min="15621" max="15621" width="26.85546875" style="64" customWidth="1"/>
    <col min="15622" max="15622" width="0" style="64" hidden="1" customWidth="1"/>
    <col min="15623" max="15623" width="2.140625" style="64" customWidth="1"/>
    <col min="15624" max="15863" width="9.140625" style="64"/>
    <col min="15864" max="15864" width="2" style="64" customWidth="1"/>
    <col min="15865" max="15866" width="9.140625" style="64"/>
    <col min="15867" max="15867" width="7.28515625" style="64" customWidth="1"/>
    <col min="15868" max="15868" width="2.85546875" style="64" customWidth="1"/>
    <col min="15869" max="15869" width="9.140625" style="64"/>
    <col min="15870" max="15870" width="10.5703125" style="64" customWidth="1"/>
    <col min="15871" max="15871" width="7.85546875" style="64" customWidth="1"/>
    <col min="15872" max="15872" width="2.85546875" style="64" customWidth="1"/>
    <col min="15873" max="15873" width="21" style="64" customWidth="1"/>
    <col min="15874" max="15874" width="23.5703125" style="64" customWidth="1"/>
    <col min="15875" max="15875" width="12.140625" style="64" customWidth="1"/>
    <col min="15876" max="15876" width="3.28515625" style="64" customWidth="1"/>
    <col min="15877" max="15877" width="26.85546875" style="64" customWidth="1"/>
    <col min="15878" max="15878" width="0" style="64" hidden="1" customWidth="1"/>
    <col min="15879" max="15879" width="2.140625" style="64" customWidth="1"/>
    <col min="15880" max="16119" width="9.140625" style="64"/>
    <col min="16120" max="16120" width="2" style="64" customWidth="1"/>
    <col min="16121" max="16122" width="9.140625" style="64"/>
    <col min="16123" max="16123" width="7.28515625" style="64" customWidth="1"/>
    <col min="16124" max="16124" width="2.85546875" style="64" customWidth="1"/>
    <col min="16125" max="16125" width="9.140625" style="64"/>
    <col min="16126" max="16126" width="10.5703125" style="64" customWidth="1"/>
    <col min="16127" max="16127" width="7.85546875" style="64" customWidth="1"/>
    <col min="16128" max="16128" width="2.85546875" style="64" customWidth="1"/>
    <col min="16129" max="16129" width="21" style="64" customWidth="1"/>
    <col min="16130" max="16130" width="23.5703125" style="64" customWidth="1"/>
    <col min="16131" max="16131" width="12.140625" style="64" customWidth="1"/>
    <col min="16132" max="16132" width="3.28515625" style="64" customWidth="1"/>
    <col min="16133" max="16133" width="26.85546875" style="64" customWidth="1"/>
    <col min="16134" max="16134" width="0" style="64" hidden="1" customWidth="1"/>
    <col min="16135" max="16135" width="2.140625" style="64" customWidth="1"/>
    <col min="16136" max="16384" width="9.140625" style="64"/>
  </cols>
  <sheetData>
    <row r="3" spans="1:15" ht="13.5" thickBot="1" x14ac:dyDescent="0.25"/>
    <row r="4" spans="1:15" ht="15.75" customHeight="1" thickTop="1" x14ac:dyDescent="0.2">
      <c r="C4" s="77"/>
      <c r="D4" s="77"/>
      <c r="E4" s="141" t="s">
        <v>267</v>
      </c>
      <c r="F4" s="142"/>
      <c r="G4" s="142"/>
      <c r="H4" s="143"/>
    </row>
    <row r="5" spans="1:15" ht="15" customHeight="1" x14ac:dyDescent="0.2">
      <c r="C5" s="77"/>
      <c r="D5" s="77"/>
      <c r="E5" s="144"/>
      <c r="F5" s="145"/>
      <c r="G5" s="145"/>
      <c r="H5" s="146"/>
    </row>
    <row r="6" spans="1:15" ht="15" customHeight="1" thickBot="1" x14ac:dyDescent="0.25">
      <c r="C6" s="77"/>
      <c r="D6" s="77"/>
      <c r="E6" s="147"/>
      <c r="F6" s="148"/>
      <c r="G6" s="148"/>
      <c r="H6" s="149"/>
    </row>
    <row r="7" spans="1:15" ht="13.5" thickTop="1" x14ac:dyDescent="0.2"/>
    <row r="14" spans="1:15" x14ac:dyDescent="0.2">
      <c r="B14" s="64" t="s">
        <v>196</v>
      </c>
      <c r="G14" s="65"/>
    </row>
    <row r="15" spans="1:15" ht="13.5" thickBot="1" x14ac:dyDescent="0.25">
      <c r="G15" s="65"/>
    </row>
    <row r="16" spans="1:15" ht="15.75" customHeight="1" thickTop="1" x14ac:dyDescent="0.2">
      <c r="A16" s="78"/>
      <c r="B16" s="124"/>
      <c r="C16" s="125"/>
      <c r="D16" s="126"/>
      <c r="E16" s="78"/>
      <c r="F16" s="79"/>
      <c r="G16" s="69"/>
      <c r="H16" s="79"/>
      <c r="I16" s="81"/>
      <c r="J16" s="72"/>
      <c r="K16" s="79"/>
      <c r="L16" s="78"/>
      <c r="M16" s="79"/>
      <c r="O16" s="79"/>
    </row>
    <row r="17" spans="1:15" ht="25.5" x14ac:dyDescent="0.2">
      <c r="A17" s="78"/>
      <c r="B17" s="127" t="s">
        <v>55</v>
      </c>
      <c r="C17" s="128"/>
      <c r="D17" s="129"/>
      <c r="E17" s="78"/>
      <c r="F17" s="85" t="s">
        <v>249</v>
      </c>
      <c r="G17" s="70"/>
      <c r="H17" s="85" t="s">
        <v>83</v>
      </c>
      <c r="I17" s="84"/>
      <c r="J17" s="72"/>
      <c r="K17" s="85" t="s">
        <v>250</v>
      </c>
      <c r="L17" s="78"/>
      <c r="M17" s="85" t="s">
        <v>85</v>
      </c>
      <c r="O17" s="85" t="s">
        <v>251</v>
      </c>
    </row>
    <row r="18" spans="1:15" ht="15" customHeight="1" x14ac:dyDescent="0.2">
      <c r="A18" s="78"/>
      <c r="B18" s="72"/>
      <c r="C18" s="84"/>
      <c r="D18" s="86"/>
      <c r="E18" s="78"/>
      <c r="F18" s="85"/>
      <c r="G18" s="78"/>
      <c r="H18" s="85"/>
      <c r="I18" s="84"/>
      <c r="J18" s="72"/>
      <c r="K18" s="85"/>
      <c r="L18" s="78"/>
      <c r="M18" s="85"/>
      <c r="O18" s="85"/>
    </row>
    <row r="19" spans="1:15" ht="38.25" x14ac:dyDescent="0.2">
      <c r="A19" s="78"/>
      <c r="B19" s="130" t="s">
        <v>210</v>
      </c>
      <c r="C19" s="131"/>
      <c r="D19" s="132"/>
      <c r="E19" s="78"/>
      <c r="F19" s="87" t="s">
        <v>210</v>
      </c>
      <c r="G19" s="89"/>
      <c r="H19" s="87" t="s">
        <v>210</v>
      </c>
      <c r="I19" s="89"/>
      <c r="J19" s="73"/>
      <c r="K19" s="87" t="s">
        <v>210</v>
      </c>
      <c r="L19" s="78"/>
      <c r="M19" s="87" t="s">
        <v>210</v>
      </c>
      <c r="O19" s="87" t="s">
        <v>252</v>
      </c>
    </row>
    <row r="20" spans="1:15" ht="15" customHeight="1" thickBot="1" x14ac:dyDescent="0.25">
      <c r="A20" s="78"/>
      <c r="B20" s="102"/>
      <c r="C20" s="103"/>
      <c r="D20" s="104"/>
      <c r="E20" s="78"/>
      <c r="F20" s="97"/>
      <c r="G20" s="78"/>
      <c r="H20" s="97"/>
      <c r="I20" s="91"/>
      <c r="J20" s="91"/>
      <c r="K20" s="97"/>
      <c r="L20" s="78"/>
      <c r="M20" s="97"/>
      <c r="O20" s="87" t="s">
        <v>253</v>
      </c>
    </row>
    <row r="21" spans="1:15" ht="12.75" customHeight="1" thickTop="1" x14ac:dyDescent="0.2">
      <c r="A21" s="78"/>
      <c r="B21" s="101"/>
      <c r="C21" s="101"/>
      <c r="D21" s="101"/>
      <c r="E21" s="78"/>
      <c r="F21" s="78"/>
      <c r="G21" s="78"/>
      <c r="H21" s="106"/>
      <c r="I21" s="96"/>
      <c r="J21" s="96"/>
      <c r="K21" s="108"/>
      <c r="L21" s="78"/>
      <c r="O21" s="87" t="s">
        <v>262</v>
      </c>
    </row>
    <row r="22" spans="1:15" ht="12.75" customHeight="1" x14ac:dyDescent="0.2">
      <c r="A22" s="78"/>
      <c r="B22" s="70"/>
      <c r="C22" s="70"/>
      <c r="D22" s="70"/>
      <c r="E22" s="78"/>
      <c r="F22" s="78"/>
      <c r="G22" s="78"/>
      <c r="I22" s="96"/>
      <c r="J22" s="96"/>
      <c r="K22" s="71"/>
      <c r="L22" s="78"/>
      <c r="O22" s="87" t="s">
        <v>254</v>
      </c>
    </row>
    <row r="23" spans="1:15" x14ac:dyDescent="0.2">
      <c r="A23" s="78"/>
      <c r="B23" s="70"/>
      <c r="C23" s="70"/>
      <c r="D23" s="70"/>
      <c r="E23" s="78"/>
      <c r="F23" s="78"/>
      <c r="G23" s="78"/>
      <c r="I23" s="96"/>
      <c r="J23" s="96"/>
      <c r="K23" s="71"/>
      <c r="L23" s="78"/>
      <c r="O23" s="87" t="s">
        <v>255</v>
      </c>
    </row>
    <row r="24" spans="1:15" x14ac:dyDescent="0.2">
      <c r="A24" s="78"/>
      <c r="B24" s="67"/>
      <c r="C24" s="67"/>
      <c r="D24" s="67"/>
      <c r="E24" s="78"/>
      <c r="F24" s="78"/>
      <c r="G24" s="78"/>
      <c r="I24" s="96"/>
      <c r="J24" s="96"/>
      <c r="K24" s="71"/>
      <c r="L24" s="78"/>
      <c r="O24" s="87" t="s">
        <v>256</v>
      </c>
    </row>
    <row r="25" spans="1:15" x14ac:dyDescent="0.2">
      <c r="A25" s="78"/>
      <c r="B25" s="67"/>
      <c r="C25" s="67"/>
      <c r="D25" s="67"/>
      <c r="E25" s="78"/>
      <c r="G25" s="78"/>
      <c r="I25" s="96"/>
      <c r="J25" s="96"/>
      <c r="K25" s="78"/>
      <c r="L25" s="78"/>
      <c r="O25" s="87" t="s">
        <v>257</v>
      </c>
    </row>
    <row r="26" spans="1:15" ht="12.75" customHeight="1" x14ac:dyDescent="0.2">
      <c r="A26" s="78"/>
      <c r="B26" s="67"/>
      <c r="C26" s="67"/>
      <c r="D26" s="67"/>
      <c r="E26" s="78"/>
      <c r="G26" s="78"/>
      <c r="I26" s="96"/>
      <c r="J26" s="96"/>
      <c r="K26" s="78"/>
      <c r="L26" s="78"/>
      <c r="O26" s="87" t="s">
        <v>258</v>
      </c>
    </row>
    <row r="27" spans="1:15" ht="12.75" customHeight="1" x14ac:dyDescent="0.2">
      <c r="A27" s="78"/>
      <c r="B27" s="67"/>
      <c r="C27" s="67"/>
      <c r="D27" s="67"/>
      <c r="E27" s="78"/>
      <c r="G27" s="71"/>
      <c r="I27" s="96"/>
      <c r="J27" s="96"/>
      <c r="L27" s="78"/>
      <c r="O27" s="87" t="s">
        <v>259</v>
      </c>
    </row>
    <row r="28" spans="1:15" ht="13.5" thickBot="1" x14ac:dyDescent="0.25">
      <c r="A28" s="78"/>
      <c r="E28" s="78"/>
      <c r="G28" s="70"/>
      <c r="H28" s="67"/>
      <c r="I28" s="103"/>
      <c r="J28" s="70"/>
      <c r="L28" s="78"/>
      <c r="O28" s="87" t="s">
        <v>260</v>
      </c>
    </row>
    <row r="29" spans="1:15" ht="13.5" thickTop="1" x14ac:dyDescent="0.2">
      <c r="A29" s="78"/>
      <c r="E29" s="78"/>
      <c r="G29" s="70"/>
      <c r="H29" s="67"/>
      <c r="I29" s="70"/>
      <c r="J29" s="70"/>
      <c r="L29" s="78"/>
      <c r="O29" s="87" t="s">
        <v>261</v>
      </c>
    </row>
    <row r="30" spans="1:15" ht="13.5" thickBot="1" x14ac:dyDescent="0.25">
      <c r="A30" s="78"/>
      <c r="E30" s="78"/>
      <c r="G30" s="71"/>
      <c r="H30" s="67"/>
      <c r="L30" s="78"/>
      <c r="O30" s="97"/>
    </row>
    <row r="31" spans="1:15" ht="13.5" thickTop="1" x14ac:dyDescent="0.2">
      <c r="G31" s="66"/>
      <c r="H31" s="66"/>
    </row>
    <row r="32" spans="1:15" x14ac:dyDescent="0.2">
      <c r="G32" s="66"/>
      <c r="H32" s="66"/>
    </row>
    <row r="33" spans="7:8" x14ac:dyDescent="0.2">
      <c r="G33" s="66"/>
      <c r="H33" s="66"/>
    </row>
    <row r="34" spans="7:8" x14ac:dyDescent="0.2">
      <c r="G34" s="65"/>
      <c r="H34" s="68"/>
    </row>
    <row r="35" spans="7:8" x14ac:dyDescent="0.2">
      <c r="G35" s="65"/>
      <c r="H35" s="66"/>
    </row>
    <row r="36" spans="7:8" x14ac:dyDescent="0.2">
      <c r="G36" s="65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H286"/>
  <sheetViews>
    <sheetView topLeftCell="A13" workbookViewId="0">
      <selection activeCell="F26" sqref="F2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77281.36</v>
      </c>
      <c r="C10" s="24">
        <v>69164.649999999994</v>
      </c>
      <c r="D10" s="24">
        <f>SUM(B10:C10)</f>
        <v>146446.01</v>
      </c>
      <c r="E10" s="40"/>
      <c r="F10" s="24">
        <v>171503.31</v>
      </c>
      <c r="G10" s="6"/>
    </row>
    <row r="11" spans="1:8" x14ac:dyDescent="0.2">
      <c r="A11" s="23" t="s">
        <v>34</v>
      </c>
      <c r="B11" s="24">
        <v>27098.240000000002</v>
      </c>
      <c r="C11" s="24">
        <v>19354.72</v>
      </c>
      <c r="D11" s="24">
        <f>SUM(B11:C11)</f>
        <v>46452.960000000006</v>
      </c>
      <c r="E11" s="40"/>
      <c r="F11" s="24">
        <v>52885.57</v>
      </c>
      <c r="G11" s="6"/>
    </row>
    <row r="12" spans="1:8" x14ac:dyDescent="0.2">
      <c r="A12" s="38" t="s">
        <v>19</v>
      </c>
      <c r="B12" s="41">
        <f>SUM(B10:B11)</f>
        <v>104379.6</v>
      </c>
      <c r="C12" s="41">
        <f t="shared" ref="C12:D12" si="0">SUM(C10:C11)</f>
        <v>88519.37</v>
      </c>
      <c r="D12" s="41">
        <f t="shared" si="0"/>
        <v>192898.97000000003</v>
      </c>
      <c r="E12" s="40">
        <f>SUM(D12/D29)*100</f>
        <v>94.198319432455278</v>
      </c>
      <c r="F12" s="27">
        <f>SUM(F10:F11)</f>
        <v>224388.88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68</v>
      </c>
      <c r="B18" s="24">
        <v>5.88</v>
      </c>
      <c r="C18" s="24"/>
      <c r="D18" s="24">
        <f>SUM(B18:C18)</f>
        <v>5.88</v>
      </c>
      <c r="E18" s="40"/>
      <c r="F18" s="24">
        <v>29.49</v>
      </c>
      <c r="G18" s="6"/>
    </row>
    <row r="19" spans="1:7" x14ac:dyDescent="0.2">
      <c r="A19" s="23" t="s">
        <v>3</v>
      </c>
      <c r="B19" s="24"/>
      <c r="C19" s="24"/>
      <c r="D19" s="24">
        <f>SUM(B19:C19)</f>
        <v>0</v>
      </c>
      <c r="E19" s="40"/>
      <c r="F19" s="24">
        <v>46.89</v>
      </c>
      <c r="G19" s="6"/>
    </row>
    <row r="20" spans="1:7" x14ac:dyDescent="0.2">
      <c r="A20" s="38" t="s">
        <v>25</v>
      </c>
      <c r="B20" s="41">
        <f>SUM(B18:B19)</f>
        <v>5.88</v>
      </c>
      <c r="C20" s="41">
        <f>SUM(C18:C19)</f>
        <v>0</v>
      </c>
      <c r="D20" s="41">
        <f>SUM(D18:D19)</f>
        <v>5.88</v>
      </c>
      <c r="E20" s="40">
        <f>SUM(D20/D29)*100</f>
        <v>2.871379345689803E-3</v>
      </c>
      <c r="F20" s="27">
        <f>SUM(F18:F19)</f>
        <v>76.38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6121.07</v>
      </c>
      <c r="C25" s="24">
        <v>5753.71</v>
      </c>
      <c r="D25" s="24">
        <f>SUM(B25:C25)</f>
        <v>11874.779999999999</v>
      </c>
      <c r="E25" s="40"/>
      <c r="F25" s="24">
        <v>14232.84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6121.07</v>
      </c>
      <c r="C27" s="41">
        <f t="shared" ref="C27:D27" si="1">SUM(C25:C26)</f>
        <v>5753.71</v>
      </c>
      <c r="D27" s="41">
        <f t="shared" si="1"/>
        <v>11874.779999999999</v>
      </c>
      <c r="E27" s="40">
        <f>SUM(D27/D29)*100</f>
        <v>5.7988091881990407</v>
      </c>
      <c r="F27" s="27">
        <f>SUM(F25:F26)</f>
        <v>14232.84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110506.55</v>
      </c>
      <c r="C29" s="41">
        <f>SUM(C27,C23,C20,C16,C12)</f>
        <v>94273.08</v>
      </c>
      <c r="D29" s="41">
        <f>SUM(B29:C29)</f>
        <v>204779.63</v>
      </c>
      <c r="E29" s="40">
        <f>SUM(E12:E27)</f>
        <v>100.00000000000001</v>
      </c>
      <c r="F29" s="27">
        <f>F27+F23+F20+F16+F12</f>
        <v>238698.1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140</v>
      </c>
      <c r="B32" s="41"/>
      <c r="C32" s="41"/>
      <c r="D32" s="41"/>
      <c r="E32" s="43"/>
      <c r="F32" s="24"/>
      <c r="G32" s="6"/>
    </row>
    <row r="33" spans="1:7" x14ac:dyDescent="0.2">
      <c r="A33" s="45" t="s">
        <v>142</v>
      </c>
      <c r="B33" s="24">
        <v>26820</v>
      </c>
      <c r="C33" s="24">
        <v>0</v>
      </c>
      <c r="D33" s="24">
        <f>SUM(B33:C33)</f>
        <v>26820</v>
      </c>
      <c r="E33" s="40"/>
      <c r="F33" s="24"/>
      <c r="G33" s="6"/>
    </row>
    <row r="34" spans="1:7" x14ac:dyDescent="0.2">
      <c r="A34" s="42" t="s">
        <v>131</v>
      </c>
      <c r="B34" s="41">
        <f>SUM(B33:B33)</f>
        <v>26820</v>
      </c>
      <c r="C34" s="41">
        <f>SUM(C33:C33)</f>
        <v>0</v>
      </c>
      <c r="D34" s="41">
        <f>SUM(D33:D33)</f>
        <v>26820</v>
      </c>
      <c r="E34" s="40">
        <f>(D34/D36)*100</f>
        <v>100</v>
      </c>
      <c r="F34" s="24"/>
      <c r="G34" s="6"/>
    </row>
    <row r="35" spans="1:7" x14ac:dyDescent="0.2">
      <c r="A35" s="42"/>
      <c r="B35" s="41"/>
      <c r="C35" s="41"/>
      <c r="D35" s="41"/>
      <c r="E35" s="43"/>
      <c r="F35" s="24"/>
      <c r="G35" s="6"/>
    </row>
    <row r="36" spans="1:7" x14ac:dyDescent="0.2">
      <c r="A36" s="44" t="s">
        <v>60</v>
      </c>
      <c r="B36" s="41">
        <f>B34</f>
        <v>26820</v>
      </c>
      <c r="C36" s="41">
        <f t="shared" ref="C36:D36" si="2">C34</f>
        <v>0</v>
      </c>
      <c r="D36" s="41">
        <f t="shared" si="2"/>
        <v>26820</v>
      </c>
      <c r="E36" s="49">
        <f>E34</f>
        <v>100</v>
      </c>
      <c r="F36" s="41">
        <f>F34</f>
        <v>0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-83686.55</v>
      </c>
      <c r="C38" s="27">
        <f t="shared" ref="C38:E38" si="3">C36-C29</f>
        <v>-94273.08</v>
      </c>
      <c r="D38" s="27">
        <f t="shared" si="3"/>
        <v>-177959.63</v>
      </c>
      <c r="E38" s="27">
        <f t="shared" si="3"/>
        <v>0</v>
      </c>
      <c r="F38" s="27">
        <f>F36-F29</f>
        <v>-238698.1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A42" s="12"/>
      <c r="B42" s="13"/>
      <c r="C42" s="13"/>
      <c r="D42" s="13"/>
      <c r="E42" s="14"/>
      <c r="F42" s="12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A44" s="12"/>
      <c r="B44" s="13"/>
      <c r="C44" s="13"/>
      <c r="D44" s="13"/>
      <c r="E44" s="14"/>
      <c r="F44" s="12"/>
      <c r="G44" s="6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H277"/>
  <sheetViews>
    <sheetView topLeftCell="A16" workbookViewId="0">
      <selection activeCell="A42" sqref="A42:XFD48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50" t="s">
        <v>82</v>
      </c>
      <c r="C3" s="150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SUM(D12/D30)*100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SUM(D16/D30)*100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22210.09</v>
      </c>
      <c r="C18" s="24">
        <v>29685.439999999999</v>
      </c>
      <c r="D18" s="24">
        <f>SUM(B18:C18)</f>
        <v>51895.53</v>
      </c>
      <c r="E18" s="40"/>
      <c r="F18" s="24">
        <v>69430.12</v>
      </c>
      <c r="G18" s="6"/>
    </row>
    <row r="19" spans="1:7" x14ac:dyDescent="0.2">
      <c r="A19" s="23" t="s">
        <v>189</v>
      </c>
      <c r="B19" s="24">
        <f>3946.8-55.91</f>
        <v>3890.8900000000003</v>
      </c>
      <c r="C19" s="24"/>
      <c r="D19" s="24">
        <f>SUM(B19:C19)</f>
        <v>3890.8900000000003</v>
      </c>
      <c r="E19" s="40"/>
      <c r="F19" s="24">
        <f>9950.14/2</f>
        <v>4975.07</v>
      </c>
      <c r="G19" s="6"/>
    </row>
    <row r="20" spans="1:7" x14ac:dyDescent="0.2">
      <c r="A20" s="23" t="s">
        <v>112</v>
      </c>
      <c r="B20" s="24">
        <v>0</v>
      </c>
      <c r="C20" s="24"/>
      <c r="D20" s="24">
        <f>SUM(B20:C20)</f>
        <v>0</v>
      </c>
      <c r="E20" s="40"/>
      <c r="F20" s="24">
        <v>204.61</v>
      </c>
      <c r="G20" s="6"/>
    </row>
    <row r="21" spans="1:7" x14ac:dyDescent="0.2">
      <c r="A21" s="38" t="s">
        <v>25</v>
      </c>
      <c r="B21" s="41">
        <f>SUM(B18:B20)</f>
        <v>26100.98</v>
      </c>
      <c r="C21" s="41">
        <f>SUM(C18:C20)</f>
        <v>29685.439999999999</v>
      </c>
      <c r="D21" s="41">
        <f>SUM(D18:D20)</f>
        <v>55786.42</v>
      </c>
      <c r="E21" s="40">
        <f>SUM(D21/D30)*100</f>
        <v>100</v>
      </c>
      <c r="F21" s="27">
        <f>SUM(F18:F20)</f>
        <v>74609.8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 t="s">
        <v>94</v>
      </c>
      <c r="B23" s="24">
        <v>0</v>
      </c>
      <c r="C23" s="24"/>
      <c r="D23" s="24">
        <f>SUM(B23:C23)</f>
        <v>0</v>
      </c>
      <c r="E23" s="40"/>
      <c r="F23" s="24">
        <v>1000</v>
      </c>
      <c r="G23" s="6"/>
    </row>
    <row r="24" spans="1:7" x14ac:dyDescent="0.2">
      <c r="A24" s="38" t="s">
        <v>27</v>
      </c>
      <c r="B24" s="41">
        <f>SUM(B23)</f>
        <v>0</v>
      </c>
      <c r="C24" s="41">
        <f>SUM(C23)</f>
        <v>0</v>
      </c>
      <c r="D24" s="41">
        <f>SUM(B24:C24)</f>
        <v>0</v>
      </c>
      <c r="E24" s="40">
        <f>SUM(D24/D30)*100</f>
        <v>0</v>
      </c>
      <c r="F24" s="27">
        <f>SUM(F23)</f>
        <v>1000</v>
      </c>
      <c r="G24" s="6"/>
    </row>
    <row r="25" spans="1:7" x14ac:dyDescent="0.2">
      <c r="A25" s="38" t="s">
        <v>28</v>
      </c>
      <c r="B25" s="27"/>
      <c r="C25" s="24"/>
      <c r="D25" s="24"/>
      <c r="E25" s="40"/>
      <c r="F25" s="24"/>
      <c r="G25" s="6"/>
    </row>
    <row r="26" spans="1:7" x14ac:dyDescent="0.2">
      <c r="A26" s="23"/>
      <c r="B26" s="24">
        <v>0</v>
      </c>
      <c r="C26" s="24"/>
      <c r="D26" s="24">
        <f>SUM(B26:C26)</f>
        <v>0</v>
      </c>
      <c r="E26" s="40"/>
      <c r="F26" s="24">
        <v>0</v>
      </c>
      <c r="G26" s="6"/>
    </row>
    <row r="27" spans="1:7" x14ac:dyDescent="0.2">
      <c r="A27" s="23"/>
      <c r="B27" s="24">
        <v>0</v>
      </c>
      <c r="C27" s="24"/>
      <c r="D27" s="24"/>
      <c r="E27" s="40"/>
      <c r="F27" s="24"/>
      <c r="G27" s="6"/>
    </row>
    <row r="28" spans="1:7" x14ac:dyDescent="0.2">
      <c r="A28" s="38" t="s">
        <v>29</v>
      </c>
      <c r="B28" s="41">
        <f>SUM(B26:B27)</f>
        <v>0</v>
      </c>
      <c r="C28" s="41">
        <f t="shared" ref="C28:D28" si="1">SUM(C26:C27)</f>
        <v>0</v>
      </c>
      <c r="D28" s="41">
        <f t="shared" si="1"/>
        <v>0</v>
      </c>
      <c r="E28" s="40">
        <f>SUM(D28/D30)*100</f>
        <v>0</v>
      </c>
      <c r="F28" s="27">
        <f>SUM(F26:F27)</f>
        <v>0</v>
      </c>
      <c r="G28" s="6"/>
    </row>
    <row r="29" spans="1:7" x14ac:dyDescent="0.2">
      <c r="A29" s="38"/>
      <c r="B29" s="27"/>
      <c r="C29" s="24"/>
      <c r="D29" s="27"/>
      <c r="E29" s="40"/>
      <c r="F29" s="24"/>
      <c r="G29" s="6"/>
    </row>
    <row r="30" spans="1:7" x14ac:dyDescent="0.2">
      <c r="A30" s="38" t="s">
        <v>30</v>
      </c>
      <c r="B30" s="41">
        <f>SUM(B28,B24,B21,B16,B12)</f>
        <v>26100.98</v>
      </c>
      <c r="C30" s="41">
        <f>SUM(C28,C24,C21,C16,C12)</f>
        <v>29685.439999999999</v>
      </c>
      <c r="D30" s="41">
        <f>SUM(B30:C30)</f>
        <v>55786.42</v>
      </c>
      <c r="E30" s="40">
        <f>SUM(E12:E28)</f>
        <v>100</v>
      </c>
      <c r="F30" s="27">
        <f>F28+F24+F21+F16+F12</f>
        <v>75609.8</v>
      </c>
      <c r="G30" s="6"/>
    </row>
    <row r="31" spans="1:7" x14ac:dyDescent="0.2">
      <c r="A31" s="23"/>
      <c r="B31" s="24"/>
      <c r="C31" s="24"/>
      <c r="D31" s="24"/>
      <c r="E31" s="40"/>
      <c r="F31" s="24"/>
      <c r="G31" s="6"/>
    </row>
    <row r="32" spans="1:7" x14ac:dyDescent="0.2">
      <c r="A32" s="42" t="s">
        <v>31</v>
      </c>
      <c r="B32" s="41"/>
      <c r="C32" s="41"/>
      <c r="D32" s="41"/>
      <c r="E32" s="43"/>
      <c r="F32" s="24"/>
      <c r="G32" s="6"/>
    </row>
    <row r="33" spans="1:7" x14ac:dyDescent="0.2">
      <c r="A33" s="46" t="s">
        <v>132</v>
      </c>
      <c r="B33" s="41"/>
      <c r="C33" s="41"/>
      <c r="D33" s="41"/>
      <c r="E33" s="43"/>
      <c r="F33" s="24"/>
      <c r="G33" s="6"/>
    </row>
    <row r="34" spans="1:7" x14ac:dyDescent="0.2">
      <c r="A34" s="45" t="s">
        <v>154</v>
      </c>
      <c r="B34" s="24">
        <v>12967.16</v>
      </c>
      <c r="C34" s="24">
        <f>26082.7-B34</f>
        <v>13115.54</v>
      </c>
      <c r="D34" s="24">
        <f>SUM(B34:C34)</f>
        <v>26082.7</v>
      </c>
      <c r="E34" s="40"/>
      <c r="F34" s="24"/>
      <c r="G34" s="6"/>
    </row>
    <row r="35" spans="1:7" x14ac:dyDescent="0.2">
      <c r="A35" s="45" t="s">
        <v>126</v>
      </c>
      <c r="B35" s="24">
        <v>0</v>
      </c>
      <c r="C35" s="24">
        <v>25200</v>
      </c>
      <c r="D35" s="24">
        <f>SUM(B35:C35)</f>
        <v>25200</v>
      </c>
      <c r="E35" s="40"/>
      <c r="F35" s="24">
        <v>32700</v>
      </c>
      <c r="G35" s="6"/>
    </row>
    <row r="36" spans="1:7" x14ac:dyDescent="0.2">
      <c r="A36" s="42" t="s">
        <v>131</v>
      </c>
      <c r="B36" s="41">
        <f>SUM(B34:B35)</f>
        <v>12967.16</v>
      </c>
      <c r="C36" s="41">
        <f>SUM(C34)</f>
        <v>13115.54</v>
      </c>
      <c r="D36" s="41">
        <f>SUM(D34:D35)</f>
        <v>51282.7</v>
      </c>
      <c r="E36" s="40">
        <f>(D36/D38)*100</f>
        <v>100</v>
      </c>
      <c r="F36" s="27">
        <f>SUM(F34:F35)</f>
        <v>32700</v>
      </c>
      <c r="G36" s="6"/>
    </row>
    <row r="37" spans="1:7" x14ac:dyDescent="0.2">
      <c r="A37" s="42"/>
      <c r="B37" s="41"/>
      <c r="C37" s="41"/>
      <c r="D37" s="41"/>
      <c r="E37" s="43"/>
      <c r="F37" s="24"/>
      <c r="G37" s="6"/>
    </row>
    <row r="38" spans="1:7" x14ac:dyDescent="0.2">
      <c r="A38" s="44" t="s">
        <v>60</v>
      </c>
      <c r="B38" s="41">
        <f>B36</f>
        <v>12967.16</v>
      </c>
      <c r="C38" s="41">
        <f t="shared" ref="C38:D38" si="2">C36</f>
        <v>13115.54</v>
      </c>
      <c r="D38" s="41">
        <f t="shared" si="2"/>
        <v>51282.7</v>
      </c>
      <c r="E38" s="49">
        <f>E36</f>
        <v>100</v>
      </c>
      <c r="F38" s="41">
        <f>F36</f>
        <v>32700</v>
      </c>
      <c r="G38" s="6"/>
    </row>
    <row r="39" spans="1:7" x14ac:dyDescent="0.2">
      <c r="A39" s="23"/>
      <c r="B39" s="24"/>
      <c r="C39" s="24"/>
      <c r="D39" s="24"/>
      <c r="E39" s="40"/>
      <c r="F39" s="24"/>
      <c r="G39" s="6"/>
    </row>
    <row r="40" spans="1:7" x14ac:dyDescent="0.2">
      <c r="A40" s="26" t="s">
        <v>32</v>
      </c>
      <c r="B40" s="27">
        <f>B38-B30</f>
        <v>-13133.82</v>
      </c>
      <c r="C40" s="27">
        <f t="shared" ref="C40:F40" si="3">C38-C30</f>
        <v>-16569.899999999998</v>
      </c>
      <c r="D40" s="27">
        <f t="shared" si="3"/>
        <v>-4503.7200000000012</v>
      </c>
      <c r="E40" s="27">
        <f t="shared" si="3"/>
        <v>0</v>
      </c>
      <c r="F40" s="27">
        <f t="shared" si="3"/>
        <v>-42909.8</v>
      </c>
      <c r="G40" s="6"/>
    </row>
    <row r="41" spans="1:7" x14ac:dyDescent="0.2">
      <c r="A41" s="7"/>
      <c r="B41" s="10"/>
      <c r="C41" s="10"/>
      <c r="D41" s="10"/>
      <c r="E41" s="4"/>
      <c r="F41" s="11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</sheetData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H270"/>
  <sheetViews>
    <sheetView workbookViewId="0">
      <selection activeCell="A35" sqref="A35:XFD41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83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SUM(D12/D29)*100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70</v>
      </c>
      <c r="B18" s="24">
        <f>962.39+198765.93</f>
        <v>199728.32</v>
      </c>
      <c r="C18" s="24"/>
      <c r="D18" s="24">
        <f>SUM(B18:C18)</f>
        <v>199728.32</v>
      </c>
      <c r="E18" s="40"/>
      <c r="F18" s="24">
        <v>286343.02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199728.32</v>
      </c>
      <c r="C20" s="41">
        <f>SUM(C18:C19)</f>
        <v>0</v>
      </c>
      <c r="D20" s="41">
        <f>SUM(D18:D19)</f>
        <v>199728.32</v>
      </c>
      <c r="E20" s="40">
        <f>SUM(D20/D29)*100</f>
        <v>100</v>
      </c>
      <c r="F20" s="27">
        <f>SUM(F18:F19)</f>
        <v>286343.02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>
        <v>0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0</v>
      </c>
      <c r="C27" s="41">
        <f t="shared" ref="C27:D27" si="1">SUM(C25:C26)</f>
        <v>0</v>
      </c>
      <c r="D27" s="41">
        <f t="shared" si="1"/>
        <v>0</v>
      </c>
      <c r="E27" s="40">
        <f>SUM(D27/D29)*100</f>
        <v>0</v>
      </c>
      <c r="F27" s="27">
        <f>SUM(F25:F26)</f>
        <v>0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199728.32</v>
      </c>
      <c r="C29" s="41">
        <f>SUM(C27,C23,C20,C16,C12)</f>
        <v>0</v>
      </c>
      <c r="D29" s="41">
        <f>SUM(B29:C29)</f>
        <v>199728.32</v>
      </c>
      <c r="E29" s="40">
        <f>SUM(E12:E27)</f>
        <v>100</v>
      </c>
      <c r="F29" s="27">
        <f>F27+F23+F20+F16+F12</f>
        <v>286343.02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-199728.32</v>
      </c>
      <c r="C33" s="27">
        <f t="shared" si="2"/>
        <v>0</v>
      </c>
      <c r="D33" s="27">
        <f t="shared" si="2"/>
        <v>-199728.32</v>
      </c>
      <c r="E33" s="47">
        <f t="shared" si="2"/>
        <v>-100</v>
      </c>
      <c r="F33" s="27">
        <f t="shared" si="2"/>
        <v>-286343.02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B35" s="15"/>
      <c r="C35" s="15"/>
      <c r="D35" s="15"/>
    </row>
    <row r="36" spans="1:7" x14ac:dyDescent="0.2">
      <c r="B36" s="15"/>
      <c r="C36" s="15"/>
      <c r="D36" s="15"/>
    </row>
    <row r="37" spans="1:7" x14ac:dyDescent="0.2">
      <c r="B37" s="15"/>
      <c r="C37" s="15"/>
      <c r="D37" s="15"/>
    </row>
    <row r="38" spans="1:7" x14ac:dyDescent="0.2">
      <c r="B38" s="15"/>
      <c r="C38" s="15"/>
      <c r="D38" s="15"/>
    </row>
    <row r="39" spans="1:7" x14ac:dyDescent="0.2">
      <c r="B39" s="15"/>
      <c r="C39" s="15"/>
      <c r="D39" s="15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H282"/>
  <sheetViews>
    <sheetView topLeftCell="A19" workbookViewId="0">
      <selection activeCell="C38" sqref="C38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2.425781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23" t="s">
        <v>84</v>
      </c>
      <c r="C2" s="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/>
      <c r="B9" s="24">
        <v>0</v>
      </c>
      <c r="C9" s="24"/>
      <c r="D9" s="24">
        <f>SUM(B9:C9)</f>
        <v>0</v>
      </c>
      <c r="E9" s="40"/>
      <c r="F9" s="24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38" t="s">
        <v>19</v>
      </c>
      <c r="B11" s="41">
        <f>SUM(B9:B10)</f>
        <v>0</v>
      </c>
      <c r="C11" s="41">
        <f t="shared" ref="C11:D11" si="0">SUM(C9:C10)</f>
        <v>0</v>
      </c>
      <c r="D11" s="41">
        <f t="shared" si="0"/>
        <v>0</v>
      </c>
      <c r="E11" s="40">
        <f>SUM(D11/D33)*100</f>
        <v>0</v>
      </c>
      <c r="F11" s="27">
        <f>SUM(F9:F10)</f>
        <v>0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/>
      <c r="B13" s="24">
        <v>0</v>
      </c>
      <c r="C13" s="24"/>
      <c r="D13" s="24">
        <f>SUM(B13:C13)</f>
        <v>0</v>
      </c>
      <c r="E13" s="40"/>
      <c r="F13" s="24"/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0</v>
      </c>
      <c r="C15" s="41">
        <f>SUM(C13:C14)</f>
        <v>0</v>
      </c>
      <c r="D15" s="41">
        <f>SUM(B15:C15)</f>
        <v>0</v>
      </c>
      <c r="E15" s="40">
        <f>SUM(D15/D33)*100</f>
        <v>0</v>
      </c>
      <c r="F15" s="27">
        <f>SUM(F13:F14)</f>
        <v>0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71</v>
      </c>
      <c r="B17" s="24">
        <v>6700</v>
      </c>
      <c r="C17" s="24"/>
      <c r="D17" s="24">
        <f>SUM(B17:C17)</f>
        <v>6700</v>
      </c>
      <c r="E17" s="40"/>
      <c r="F17" s="24">
        <v>166.1</v>
      </c>
      <c r="G17" s="6"/>
    </row>
    <row r="18" spans="1:7" x14ac:dyDescent="0.2">
      <c r="A18" s="23" t="s">
        <v>23</v>
      </c>
      <c r="B18" s="24"/>
      <c r="C18" s="24"/>
      <c r="D18" s="24"/>
      <c r="E18" s="40"/>
      <c r="F18" s="24">
        <v>6541.5</v>
      </c>
      <c r="G18" s="6"/>
    </row>
    <row r="19" spans="1:7" x14ac:dyDescent="0.2">
      <c r="A19" s="23" t="s">
        <v>36</v>
      </c>
      <c r="B19" s="24">
        <v>0</v>
      </c>
      <c r="C19" s="24"/>
      <c r="D19" s="24">
        <f t="shared" ref="D19:D20" si="1">SUM(B19:C19)</f>
        <v>0</v>
      </c>
      <c r="E19" s="40"/>
      <c r="F19" s="24">
        <v>4250</v>
      </c>
      <c r="G19" s="6"/>
    </row>
    <row r="20" spans="1:7" x14ac:dyDescent="0.2">
      <c r="A20" s="23" t="s">
        <v>191</v>
      </c>
      <c r="B20" s="24">
        <v>4881.75</v>
      </c>
      <c r="C20" s="24"/>
      <c r="D20" s="24">
        <f t="shared" si="1"/>
        <v>4881.75</v>
      </c>
      <c r="E20" s="40"/>
      <c r="F20" s="24">
        <v>10378.049999999999</v>
      </c>
      <c r="G20" s="6"/>
    </row>
    <row r="21" spans="1:7" x14ac:dyDescent="0.2">
      <c r="A21" s="23" t="s">
        <v>72</v>
      </c>
      <c r="B21" s="24">
        <v>1595000</v>
      </c>
      <c r="C21" s="24"/>
      <c r="D21" s="24">
        <f>SUM(B21:C21)</f>
        <v>1595000</v>
      </c>
      <c r="E21" s="40"/>
      <c r="F21" s="24">
        <v>1483931.14</v>
      </c>
      <c r="G21" s="6"/>
    </row>
    <row r="22" spans="1:7" x14ac:dyDescent="0.2">
      <c r="A22" s="23" t="s">
        <v>73</v>
      </c>
      <c r="B22" s="24">
        <v>12211.83</v>
      </c>
      <c r="C22" s="24">
        <v>3675.98</v>
      </c>
      <c r="D22" s="24">
        <f>SUM(B22:C22)</f>
        <v>15887.81</v>
      </c>
      <c r="E22" s="40"/>
      <c r="F22" s="24">
        <v>0</v>
      </c>
      <c r="G22" s="6"/>
    </row>
    <row r="23" spans="1:7" x14ac:dyDescent="0.2">
      <c r="A23" s="38" t="s">
        <v>25</v>
      </c>
      <c r="B23" s="41">
        <f>SUM(B17:B22)</f>
        <v>1618793.58</v>
      </c>
      <c r="C23" s="41">
        <f>SUM(C17:C22)</f>
        <v>3675.98</v>
      </c>
      <c r="D23" s="41">
        <f>SUM(D17:D22)</f>
        <v>1622469.56</v>
      </c>
      <c r="E23" s="40">
        <f>SUM(D23/D33)*100</f>
        <v>99.835239536092217</v>
      </c>
      <c r="F23" s="27">
        <f>SUM(F17:F22)</f>
        <v>1505266.7899999998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 t="s">
        <v>5</v>
      </c>
      <c r="B25" s="24">
        <v>850</v>
      </c>
      <c r="C25" s="24"/>
      <c r="D25" s="24">
        <f>SUM(B25:C25)</f>
        <v>850</v>
      </c>
      <c r="E25" s="40"/>
      <c r="F25" s="24">
        <v>1750</v>
      </c>
      <c r="G25" s="6"/>
    </row>
    <row r="26" spans="1:7" x14ac:dyDescent="0.2">
      <c r="A26" s="23" t="s">
        <v>74</v>
      </c>
      <c r="B26" s="24">
        <v>1827.6</v>
      </c>
      <c r="C26" s="24"/>
      <c r="D26" s="24">
        <f>SUM(B26:C26)</f>
        <v>1827.6</v>
      </c>
      <c r="E26" s="40"/>
      <c r="F26" s="24">
        <v>38097.49</v>
      </c>
      <c r="G26" s="6"/>
    </row>
    <row r="27" spans="1:7" x14ac:dyDescent="0.2">
      <c r="A27" s="23" t="s">
        <v>110</v>
      </c>
      <c r="B27" s="24">
        <v>0</v>
      </c>
      <c r="C27" s="24"/>
      <c r="D27" s="24">
        <f>SUM(B27:C27)</f>
        <v>0</v>
      </c>
      <c r="E27" s="40"/>
      <c r="F27" s="24">
        <f>5077.13+4644.36</f>
        <v>9721.49</v>
      </c>
      <c r="G27" s="6"/>
    </row>
    <row r="28" spans="1:7" x14ac:dyDescent="0.2">
      <c r="A28" s="38" t="s">
        <v>27</v>
      </c>
      <c r="B28" s="41">
        <f>SUM(B25:B27)</f>
        <v>2677.6</v>
      </c>
      <c r="C28" s="41">
        <f>SUM(C25)</f>
        <v>0</v>
      </c>
      <c r="D28" s="41">
        <f>SUM(B28:C28)</f>
        <v>2677.6</v>
      </c>
      <c r="E28" s="40">
        <f>SUM(D28/D33)*100</f>
        <v>0.1647604639077731</v>
      </c>
      <c r="F28" s="27">
        <f>SUM(F25:F27)</f>
        <v>49568.979999999996</v>
      </c>
      <c r="G28" s="6"/>
    </row>
    <row r="29" spans="1:7" x14ac:dyDescent="0.2">
      <c r="A29" s="38" t="s">
        <v>28</v>
      </c>
      <c r="B29" s="27"/>
      <c r="C29" s="24"/>
      <c r="D29" s="24"/>
      <c r="E29" s="40"/>
      <c r="F29" s="24"/>
      <c r="G29" s="6"/>
    </row>
    <row r="30" spans="1:7" x14ac:dyDescent="0.2">
      <c r="A30" s="23"/>
      <c r="B30" s="24">
        <v>0</v>
      </c>
      <c r="C30" s="24"/>
      <c r="D30" s="24">
        <f>SUM(B30:C30)</f>
        <v>0</v>
      </c>
      <c r="E30" s="40"/>
      <c r="F30" s="24">
        <v>0</v>
      </c>
      <c r="G30" s="6"/>
    </row>
    <row r="31" spans="1:7" x14ac:dyDescent="0.2">
      <c r="A31" s="38" t="s">
        <v>29</v>
      </c>
      <c r="B31" s="41">
        <f>SUM(B30:B30)</f>
        <v>0</v>
      </c>
      <c r="C31" s="41">
        <f>SUM(C30:C30)</f>
        <v>0</v>
      </c>
      <c r="D31" s="41">
        <f>SUM(D30:D30)</f>
        <v>0</v>
      </c>
      <c r="E31" s="40">
        <f>SUM(D31/D33)*100</f>
        <v>0</v>
      </c>
      <c r="F31" s="27">
        <f>SUM(F30:F30)</f>
        <v>0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7" x14ac:dyDescent="0.2">
      <c r="A33" s="38" t="s">
        <v>30</v>
      </c>
      <c r="B33" s="41">
        <f>SUM(B31,B28,B23,B15,B11)</f>
        <v>1621471.1800000002</v>
      </c>
      <c r="C33" s="41">
        <f>SUM(C31,C28,C23,C15,C11)</f>
        <v>3675.98</v>
      </c>
      <c r="D33" s="41">
        <f>SUM(B33:C33)</f>
        <v>1625147.1600000001</v>
      </c>
      <c r="E33" s="40">
        <f>SUM(E11:E31)</f>
        <v>99.999999999999986</v>
      </c>
      <c r="F33" s="27">
        <f>F31+F28+F23+F15+F11</f>
        <v>1554835.7699999998</v>
      </c>
      <c r="G33" s="6"/>
    </row>
    <row r="34" spans="1:7" x14ac:dyDescent="0.2">
      <c r="A34" s="23"/>
      <c r="B34" s="24"/>
      <c r="C34" s="24"/>
      <c r="D34" s="24"/>
      <c r="E34" s="40"/>
      <c r="F34" s="24"/>
      <c r="G34" s="6"/>
    </row>
    <row r="35" spans="1:7" x14ac:dyDescent="0.2">
      <c r="A35" s="42" t="s">
        <v>31</v>
      </c>
      <c r="B35" s="41"/>
      <c r="C35" s="41"/>
      <c r="D35" s="41"/>
      <c r="E35" s="43"/>
      <c r="F35" s="24"/>
      <c r="G35" s="6"/>
    </row>
    <row r="36" spans="1:7" x14ac:dyDescent="0.2">
      <c r="A36" s="46" t="s">
        <v>132</v>
      </c>
      <c r="B36" s="41"/>
      <c r="C36" s="41"/>
      <c r="D36" s="41"/>
      <c r="E36" s="43"/>
      <c r="F36" s="24"/>
      <c r="G36" s="6"/>
    </row>
    <row r="37" spans="1:7" x14ac:dyDescent="0.2">
      <c r="A37" s="45" t="s">
        <v>155</v>
      </c>
      <c r="B37" s="24">
        <v>1032</v>
      </c>
      <c r="C37" s="24">
        <f>13331.07-B37</f>
        <v>12299.07</v>
      </c>
      <c r="D37" s="24">
        <f>SUM(B37:C37)</f>
        <v>13331.07</v>
      </c>
      <c r="E37" s="40"/>
      <c r="F37" s="24">
        <v>0</v>
      </c>
      <c r="G37" s="6"/>
    </row>
    <row r="38" spans="1:7" x14ac:dyDescent="0.2">
      <c r="A38" s="42" t="s">
        <v>131</v>
      </c>
      <c r="B38" s="41">
        <f>SUM(B37)</f>
        <v>1032</v>
      </c>
      <c r="C38" s="41">
        <f>SUM(C37)</f>
        <v>12299.07</v>
      </c>
      <c r="D38" s="41">
        <f>SUM(D37)</f>
        <v>13331.07</v>
      </c>
      <c r="E38" s="40">
        <f>(D38/D40)*100</f>
        <v>100</v>
      </c>
      <c r="F38" s="27">
        <f>SUM(F37)</f>
        <v>0</v>
      </c>
      <c r="G38" s="6"/>
    </row>
    <row r="39" spans="1:7" x14ac:dyDescent="0.2">
      <c r="A39" s="42"/>
      <c r="B39" s="41"/>
      <c r="C39" s="41"/>
      <c r="D39" s="41"/>
      <c r="E39" s="43"/>
      <c r="F39" s="24"/>
      <c r="G39" s="6"/>
    </row>
    <row r="40" spans="1:7" x14ac:dyDescent="0.2">
      <c r="A40" s="44" t="s">
        <v>60</v>
      </c>
      <c r="B40" s="41">
        <f>B38</f>
        <v>1032</v>
      </c>
      <c r="C40" s="41">
        <f t="shared" ref="C40:D40" si="2">C38</f>
        <v>12299.07</v>
      </c>
      <c r="D40" s="41">
        <f t="shared" si="2"/>
        <v>13331.07</v>
      </c>
      <c r="E40" s="49">
        <f>E38</f>
        <v>100</v>
      </c>
      <c r="F40" s="41">
        <f>F38</f>
        <v>0</v>
      </c>
      <c r="G40" s="6"/>
    </row>
    <row r="41" spans="1:7" x14ac:dyDescent="0.2">
      <c r="A41" s="23"/>
      <c r="B41" s="24"/>
      <c r="C41" s="24"/>
      <c r="D41" s="24"/>
      <c r="E41" s="40"/>
      <c r="F41" s="24"/>
      <c r="G41" s="6"/>
    </row>
    <row r="42" spans="1:7" x14ac:dyDescent="0.2">
      <c r="A42" s="26" t="s">
        <v>32</v>
      </c>
      <c r="B42" s="27">
        <f>B40-B33</f>
        <v>-1620439.1800000002</v>
      </c>
      <c r="C42" s="27">
        <f t="shared" ref="C42:F42" si="3">C40-C33</f>
        <v>8623.09</v>
      </c>
      <c r="D42" s="27">
        <f t="shared" si="3"/>
        <v>-1611816.09</v>
      </c>
      <c r="E42" s="27">
        <f t="shared" si="3"/>
        <v>0</v>
      </c>
      <c r="F42" s="27">
        <f t="shared" si="3"/>
        <v>-1554835.7699999998</v>
      </c>
      <c r="G42" s="6"/>
    </row>
    <row r="43" spans="1:7" x14ac:dyDescent="0.2">
      <c r="A43" s="7"/>
      <c r="B43" s="10"/>
      <c r="C43" s="10"/>
      <c r="D43" s="10"/>
      <c r="E43" s="4"/>
      <c r="F43" s="11"/>
      <c r="G43" s="6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1:8" x14ac:dyDescent="0.2">
      <c r="B49" s="15"/>
      <c r="C49" s="15"/>
      <c r="D49" s="15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  <row r="282" spans="1:8" s="16" customFormat="1" x14ac:dyDescent="0.2">
      <c r="A282" s="1"/>
      <c r="B282" s="15"/>
      <c r="C282" s="15"/>
      <c r="D282" s="15"/>
      <c r="F282" s="1"/>
      <c r="G282" s="1"/>
      <c r="H282" s="1"/>
    </row>
  </sheetData>
  <mergeCells count="1">
    <mergeCell ref="B6:D6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H275"/>
  <sheetViews>
    <sheetView topLeftCell="A16" workbookViewId="0">
      <selection activeCell="F23" sqref="F23"/>
    </sheetView>
  </sheetViews>
  <sheetFormatPr defaultRowHeight="12.75" x14ac:dyDescent="0.2"/>
  <cols>
    <col min="1" max="1" width="24.7109375" style="1" customWidth="1"/>
    <col min="2" max="2" width="18.7109375" style="1" customWidth="1"/>
    <col min="3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SUM(D12/D31)*100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SUM(D16/D31)*100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25830.240000000002</v>
      </c>
      <c r="C18" s="24">
        <v>5512.74</v>
      </c>
      <c r="D18" s="24">
        <f>SUM(B18:C18)</f>
        <v>31342.980000000003</v>
      </c>
      <c r="E18" s="40"/>
      <c r="F18" s="24">
        <v>36349.75</v>
      </c>
      <c r="G18" s="6"/>
    </row>
    <row r="19" spans="1:7" x14ac:dyDescent="0.2">
      <c r="A19" s="23"/>
      <c r="B19" s="24">
        <v>0</v>
      </c>
      <c r="C19" s="24"/>
      <c r="D19" s="24">
        <f>SUM(B19:C19)</f>
        <v>0</v>
      </c>
      <c r="E19" s="40"/>
      <c r="F19" s="24"/>
      <c r="G19" s="6"/>
    </row>
    <row r="20" spans="1:7" x14ac:dyDescent="0.2">
      <c r="A20" s="23"/>
      <c r="B20" s="24">
        <v>0</v>
      </c>
      <c r="C20" s="24"/>
      <c r="D20" s="24">
        <f>SUM(B20:C20)</f>
        <v>0</v>
      </c>
      <c r="E20" s="40"/>
      <c r="F20" s="24"/>
      <c r="G20" s="6"/>
    </row>
    <row r="21" spans="1:7" x14ac:dyDescent="0.2">
      <c r="A21" s="38" t="s">
        <v>25</v>
      </c>
      <c r="B21" s="41">
        <f>SUM(B18:B20)</f>
        <v>25830.240000000002</v>
      </c>
      <c r="C21" s="41">
        <f>SUM(C18:C19)</f>
        <v>5512.74</v>
      </c>
      <c r="D21" s="41">
        <f>SUM(D18:D20)</f>
        <v>31342.980000000003</v>
      </c>
      <c r="E21" s="40">
        <f>SUM(D21/D31)*100</f>
        <v>100</v>
      </c>
      <c r="F21" s="27">
        <f>SUM(F18:F19)</f>
        <v>36349.75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 t="s">
        <v>74</v>
      </c>
      <c r="B23" s="24">
        <v>0</v>
      </c>
      <c r="C23" s="24"/>
      <c r="D23" s="24">
        <f>SUM(B23:C23)</f>
        <v>0</v>
      </c>
      <c r="E23" s="40"/>
      <c r="F23" s="24">
        <v>56012</v>
      </c>
      <c r="G23" s="6"/>
    </row>
    <row r="24" spans="1:7" x14ac:dyDescent="0.2">
      <c r="A24" s="23"/>
      <c r="B24" s="24">
        <v>0</v>
      </c>
      <c r="C24" s="24"/>
      <c r="D24" s="24">
        <f>SUM(B24:C24)</f>
        <v>0</v>
      </c>
      <c r="E24" s="40"/>
      <c r="F24" s="24"/>
      <c r="G24" s="6"/>
    </row>
    <row r="25" spans="1:7" x14ac:dyDescent="0.2">
      <c r="A25" s="38" t="s">
        <v>27</v>
      </c>
      <c r="B25" s="41">
        <f>SUM(B23:B24)</f>
        <v>0</v>
      </c>
      <c r="C25" s="41">
        <f>SUM(C23)</f>
        <v>0</v>
      </c>
      <c r="D25" s="41">
        <f>SUM(B25:C25)</f>
        <v>0</v>
      </c>
      <c r="E25" s="40">
        <f>SUM(D25/D31)*100</f>
        <v>0</v>
      </c>
      <c r="F25" s="27">
        <f>SUM(F23)</f>
        <v>56012</v>
      </c>
      <c r="G25" s="6"/>
    </row>
    <row r="26" spans="1:7" x14ac:dyDescent="0.2">
      <c r="A26" s="38" t="s">
        <v>28</v>
      </c>
      <c r="B26" s="27"/>
      <c r="C26" s="24"/>
      <c r="D26" s="24"/>
      <c r="E26" s="40"/>
      <c r="F26" s="24"/>
      <c r="G26" s="6"/>
    </row>
    <row r="27" spans="1:7" x14ac:dyDescent="0.2">
      <c r="A27" s="23"/>
      <c r="B27" s="24">
        <v>0</v>
      </c>
      <c r="C27" s="24"/>
      <c r="D27" s="24">
        <f>SUM(B27:C27)</f>
        <v>0</v>
      </c>
      <c r="E27" s="40"/>
      <c r="F27" s="24">
        <v>0</v>
      </c>
      <c r="G27" s="6"/>
    </row>
    <row r="28" spans="1:7" x14ac:dyDescent="0.2">
      <c r="A28" s="23"/>
      <c r="B28" s="24">
        <v>0</v>
      </c>
      <c r="C28" s="24"/>
      <c r="D28" s="24"/>
      <c r="E28" s="40"/>
      <c r="F28" s="24"/>
      <c r="G28" s="6"/>
    </row>
    <row r="29" spans="1:7" x14ac:dyDescent="0.2">
      <c r="A29" s="38" t="s">
        <v>29</v>
      </c>
      <c r="B29" s="41">
        <f>SUM(B27:B28)</f>
        <v>0</v>
      </c>
      <c r="C29" s="41">
        <f t="shared" ref="C29:D29" si="1">SUM(C27:C28)</f>
        <v>0</v>
      </c>
      <c r="D29" s="41">
        <f t="shared" si="1"/>
        <v>0</v>
      </c>
      <c r="E29" s="40">
        <f>SUM(D29/D31)*100</f>
        <v>0</v>
      </c>
      <c r="F29" s="27">
        <f>SUM(F27:F28)</f>
        <v>0</v>
      </c>
      <c r="G29" s="6"/>
    </row>
    <row r="30" spans="1:7" x14ac:dyDescent="0.2">
      <c r="A30" s="38"/>
      <c r="B30" s="27"/>
      <c r="C30" s="24"/>
      <c r="D30" s="27"/>
      <c r="E30" s="40"/>
      <c r="F30" s="24"/>
      <c r="G30" s="6"/>
    </row>
    <row r="31" spans="1:7" x14ac:dyDescent="0.2">
      <c r="A31" s="38" t="s">
        <v>30</v>
      </c>
      <c r="B31" s="41">
        <f>SUM(B29,B25,B21,B16,B12)</f>
        <v>25830.240000000002</v>
      </c>
      <c r="C31" s="41">
        <f>SUM(C29,C25,C21,C16,C12)</f>
        <v>5512.74</v>
      </c>
      <c r="D31" s="41">
        <f>SUM(B31:C31)</f>
        <v>31342.980000000003</v>
      </c>
      <c r="E31" s="40">
        <f>SUM(E12:E29)</f>
        <v>100</v>
      </c>
      <c r="F31" s="27">
        <f>F29+F25+F21+F16+F12</f>
        <v>92361.75</v>
      </c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8" x14ac:dyDescent="0.2">
      <c r="A33" s="42" t="s">
        <v>31</v>
      </c>
      <c r="B33" s="41"/>
      <c r="C33" s="41"/>
      <c r="D33" s="41"/>
      <c r="E33" s="43"/>
      <c r="F33" s="24"/>
      <c r="G33" s="6"/>
    </row>
    <row r="34" spans="1:8" x14ac:dyDescent="0.2">
      <c r="A34" s="23"/>
      <c r="B34" s="24"/>
      <c r="C34" s="24"/>
      <c r="D34" s="24"/>
      <c r="E34" s="40"/>
      <c r="F34" s="24"/>
      <c r="G34" s="6"/>
    </row>
    <row r="35" spans="1:8" x14ac:dyDescent="0.2">
      <c r="A35" s="26" t="s">
        <v>32</v>
      </c>
      <c r="B35" s="27">
        <f t="shared" ref="B35:F35" si="2">B33-B31</f>
        <v>-25830.240000000002</v>
      </c>
      <c r="C35" s="27">
        <f t="shared" si="2"/>
        <v>-5512.74</v>
      </c>
      <c r="D35" s="27">
        <f t="shared" si="2"/>
        <v>-31342.980000000003</v>
      </c>
      <c r="E35" s="47">
        <f t="shared" si="2"/>
        <v>-100</v>
      </c>
      <c r="F35" s="27">
        <f t="shared" si="2"/>
        <v>-92361.75</v>
      </c>
      <c r="G35" s="6"/>
    </row>
    <row r="36" spans="1:8" x14ac:dyDescent="0.2">
      <c r="A36" s="7"/>
      <c r="B36" s="10"/>
      <c r="C36" s="10"/>
      <c r="D36" s="10"/>
      <c r="E36" s="4"/>
      <c r="F36" s="11"/>
      <c r="G36" s="6"/>
    </row>
    <row r="37" spans="1:8" x14ac:dyDescent="0.2">
      <c r="B37" s="15"/>
      <c r="C37" s="15"/>
      <c r="D37" s="15"/>
    </row>
    <row r="38" spans="1:8" x14ac:dyDescent="0.2">
      <c r="B38" s="15"/>
      <c r="C38" s="15"/>
      <c r="D38" s="15"/>
    </row>
    <row r="39" spans="1:8" x14ac:dyDescent="0.2">
      <c r="B39" s="15"/>
      <c r="C39" s="15"/>
      <c r="D39" s="15"/>
    </row>
    <row r="40" spans="1:8" x14ac:dyDescent="0.2">
      <c r="B40" s="15"/>
      <c r="C40" s="15"/>
      <c r="D40" s="15"/>
    </row>
    <row r="41" spans="1:8" x14ac:dyDescent="0.2">
      <c r="B41" s="15"/>
      <c r="C41" s="15"/>
      <c r="D41" s="15"/>
    </row>
    <row r="42" spans="1:8" x14ac:dyDescent="0.2">
      <c r="B42" s="15"/>
      <c r="C42" s="15"/>
      <c r="D42" s="15"/>
    </row>
    <row r="43" spans="1:8" s="16" customFormat="1" x14ac:dyDescent="0.2">
      <c r="A43" s="1"/>
      <c r="B43" s="15"/>
      <c r="C43" s="15"/>
      <c r="D43" s="15"/>
      <c r="F43" s="1"/>
      <c r="G43" s="1"/>
      <c r="H43" s="1"/>
    </row>
    <row r="44" spans="1:8" s="16" customFormat="1" x14ac:dyDescent="0.2">
      <c r="A44" s="1"/>
      <c r="B44" s="15"/>
      <c r="C44" s="15"/>
      <c r="D44" s="15"/>
      <c r="F44" s="1"/>
      <c r="G44" s="1"/>
      <c r="H44" s="1"/>
    </row>
    <row r="45" spans="1:8" s="16" customFormat="1" x14ac:dyDescent="0.2">
      <c r="A45" s="1"/>
      <c r="B45" s="15"/>
      <c r="C45" s="15"/>
      <c r="D45" s="15"/>
      <c r="F45" s="1"/>
      <c r="G45" s="1"/>
      <c r="H45" s="1"/>
    </row>
    <row r="46" spans="1:8" s="16" customFormat="1" x14ac:dyDescent="0.2">
      <c r="A46" s="1"/>
      <c r="B46" s="15"/>
      <c r="C46" s="15"/>
      <c r="D46" s="15"/>
      <c r="F46" s="1"/>
      <c r="G46" s="1"/>
      <c r="H46" s="1"/>
    </row>
    <row r="47" spans="1:8" s="16" customFormat="1" x14ac:dyDescent="0.2">
      <c r="A47" s="1"/>
      <c r="B47" s="15"/>
      <c r="C47" s="15"/>
      <c r="D47" s="15"/>
      <c r="F47" s="1"/>
      <c r="G47" s="1"/>
      <c r="H47" s="1"/>
    </row>
    <row r="48" spans="1:8" s="16" customFormat="1" x14ac:dyDescent="0.2">
      <c r="A48" s="1"/>
      <c r="B48" s="15"/>
      <c r="C48" s="15"/>
      <c r="D48" s="15"/>
      <c r="F48" s="1"/>
      <c r="G48" s="1"/>
      <c r="H48" s="1"/>
    </row>
    <row r="49" spans="1:8" s="16" customFormat="1" x14ac:dyDescent="0.2">
      <c r="A49" s="1"/>
      <c r="B49" s="15"/>
      <c r="C49" s="15"/>
      <c r="D49" s="15"/>
      <c r="F49" s="1"/>
      <c r="G49" s="1"/>
      <c r="H49" s="1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H290"/>
  <sheetViews>
    <sheetView topLeftCell="A28" workbookViewId="0">
      <selection activeCell="A52" sqref="A52:XFD57"/>
    </sheetView>
  </sheetViews>
  <sheetFormatPr defaultRowHeight="12.75" x14ac:dyDescent="0.2"/>
  <cols>
    <col min="1" max="1" width="24.7109375" style="1" customWidth="1"/>
    <col min="2" max="2" width="18.7109375" style="1" customWidth="1"/>
    <col min="3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86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69749.279999999999</v>
      </c>
      <c r="C10" s="24">
        <v>78073.83</v>
      </c>
      <c r="D10" s="24">
        <f>SUM(B10:C10)</f>
        <v>147823.10999999999</v>
      </c>
      <c r="E10" s="40"/>
      <c r="F10" s="24">
        <v>140358.49</v>
      </c>
      <c r="G10" s="6"/>
    </row>
    <row r="11" spans="1:8" x14ac:dyDescent="0.2">
      <c r="A11" s="23" t="s">
        <v>34</v>
      </c>
      <c r="B11" s="24">
        <v>23026.82</v>
      </c>
      <c r="C11" s="24">
        <v>21478.79</v>
      </c>
      <c r="D11" s="24">
        <f>SUM(B11:C11)</f>
        <v>44505.61</v>
      </c>
      <c r="E11" s="40"/>
      <c r="F11" s="24">
        <v>44519.57</v>
      </c>
      <c r="G11" s="6"/>
    </row>
    <row r="12" spans="1:8" x14ac:dyDescent="0.2">
      <c r="A12" s="38" t="s">
        <v>19</v>
      </c>
      <c r="B12" s="41">
        <f>SUM(B10:B11)</f>
        <v>92776.1</v>
      </c>
      <c r="C12" s="41">
        <f t="shared" ref="C12:D12" si="0">SUM(C10:C11)</f>
        <v>99552.62</v>
      </c>
      <c r="D12" s="41">
        <f t="shared" si="0"/>
        <v>192328.71999999997</v>
      </c>
      <c r="E12" s="40">
        <f>SUM(D12/D39)*100</f>
        <v>78.474399856882101</v>
      </c>
      <c r="F12" s="27">
        <f>SUM(F10:F11)</f>
        <v>184878.06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20</v>
      </c>
      <c r="B14" s="24">
        <v>15119.31</v>
      </c>
      <c r="C14" s="24"/>
      <c r="D14" s="24">
        <f>SUM(B14:C14)</f>
        <v>15119.31</v>
      </c>
      <c r="E14" s="40"/>
      <c r="F14" s="24">
        <v>4553.01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15119.31</v>
      </c>
      <c r="C16" s="41">
        <f>SUM(C14:C15)</f>
        <v>0</v>
      </c>
      <c r="D16" s="41">
        <f>SUM(B16:C16)</f>
        <v>15119.31</v>
      </c>
      <c r="E16" s="40">
        <f>SUM(D16/D39)*100</f>
        <v>6.1690151034133454</v>
      </c>
      <c r="F16" s="27">
        <f>SUM(F14:F15)</f>
        <v>4553.01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2224.62</v>
      </c>
      <c r="C18" s="24">
        <v>1883.5</v>
      </c>
      <c r="D18" s="24">
        <f>SUM(B18:C18)</f>
        <v>4108.12</v>
      </c>
      <c r="E18" s="40"/>
      <c r="F18" s="24">
        <v>16149.98</v>
      </c>
      <c r="G18" s="6"/>
    </row>
    <row r="19" spans="1:7" x14ac:dyDescent="0.2">
      <c r="A19" s="23" t="s">
        <v>189</v>
      </c>
      <c r="B19" s="24">
        <v>108.71</v>
      </c>
      <c r="C19" s="24"/>
      <c r="D19" s="24">
        <f t="shared" ref="D19:D22" si="1">SUM(B19:C19)</f>
        <v>108.71</v>
      </c>
      <c r="E19" s="40"/>
      <c r="F19" s="24">
        <f>731.45/2</f>
        <v>365.72500000000002</v>
      </c>
      <c r="G19" s="6"/>
    </row>
    <row r="20" spans="1:7" x14ac:dyDescent="0.2">
      <c r="A20" s="23" t="s">
        <v>3</v>
      </c>
      <c r="B20" s="24">
        <v>2324.5700000000002</v>
      </c>
      <c r="C20" s="24"/>
      <c r="D20" s="24">
        <f t="shared" si="1"/>
        <v>2324.5700000000002</v>
      </c>
      <c r="E20" s="40"/>
      <c r="F20" s="24">
        <f>4451.29/2</f>
        <v>2225.645</v>
      </c>
      <c r="G20" s="6"/>
    </row>
    <row r="21" spans="1:7" x14ac:dyDescent="0.2">
      <c r="A21" s="23" t="s">
        <v>191</v>
      </c>
      <c r="B21" s="24">
        <f>6554.63-0.68-71.64</f>
        <v>6482.3099999999995</v>
      </c>
      <c r="C21" s="24"/>
      <c r="D21" s="24">
        <f t="shared" si="1"/>
        <v>6482.3099999999995</v>
      </c>
      <c r="E21" s="40"/>
      <c r="F21" s="24">
        <f>2614.29+49.12+267.56</f>
        <v>2930.97</v>
      </c>
      <c r="G21" s="6"/>
    </row>
    <row r="22" spans="1:7" x14ac:dyDescent="0.2">
      <c r="A22" s="23" t="s">
        <v>192</v>
      </c>
      <c r="B22" s="24">
        <v>613.62</v>
      </c>
      <c r="C22" s="24"/>
      <c r="D22" s="24">
        <f t="shared" si="1"/>
        <v>613.62</v>
      </c>
      <c r="E22" s="40"/>
      <c r="F22" s="24">
        <v>1292.96</v>
      </c>
      <c r="G22" s="6"/>
    </row>
    <row r="23" spans="1:7" x14ac:dyDescent="0.2">
      <c r="A23" s="23" t="s">
        <v>119</v>
      </c>
      <c r="B23" s="24">
        <v>0</v>
      </c>
      <c r="C23" s="24"/>
      <c r="D23" s="24">
        <f>SUM(B23:C23)</f>
        <v>0</v>
      </c>
      <c r="E23" s="40"/>
      <c r="F23" s="24">
        <v>1999.92</v>
      </c>
      <c r="G23" s="6"/>
    </row>
    <row r="24" spans="1:7" x14ac:dyDescent="0.2">
      <c r="A24" s="23" t="s">
        <v>186</v>
      </c>
      <c r="B24" s="24">
        <f>(7681.52+403.08)/2</f>
        <v>4042.3</v>
      </c>
      <c r="C24" s="24"/>
      <c r="D24" s="24">
        <f>SUM(B24:C24)</f>
        <v>4042.3</v>
      </c>
      <c r="E24" s="40"/>
      <c r="F24" s="24">
        <f>(682.69+9474.47)/2</f>
        <v>5078.58</v>
      </c>
      <c r="G24" s="6"/>
    </row>
    <row r="25" spans="1:7" x14ac:dyDescent="0.2">
      <c r="A25" s="23" t="s">
        <v>182</v>
      </c>
      <c r="B25" s="24">
        <v>5433.59</v>
      </c>
      <c r="C25" s="24"/>
      <c r="D25" s="24">
        <f>SUM(B25:C25)</f>
        <v>5433.59</v>
      </c>
      <c r="E25" s="40"/>
      <c r="F25" s="24">
        <v>8410.1</v>
      </c>
      <c r="G25" s="6"/>
    </row>
    <row r="26" spans="1:7" x14ac:dyDescent="0.2">
      <c r="A26" s="38" t="s">
        <v>25</v>
      </c>
      <c r="B26" s="41">
        <f>SUM(B18:B25)</f>
        <v>21229.72</v>
      </c>
      <c r="C26" s="41">
        <f>SUM(C18:C23)</f>
        <v>1883.5</v>
      </c>
      <c r="D26" s="41">
        <f>SUM(D18:D25)</f>
        <v>23113.22</v>
      </c>
      <c r="E26" s="40">
        <f>SUM(D26/D39)*100</f>
        <v>9.4307083635771356</v>
      </c>
      <c r="F26" s="27">
        <f>SUM(F18:F23)</f>
        <v>24965.199999999997</v>
      </c>
      <c r="G26" s="6"/>
    </row>
    <row r="27" spans="1:7" x14ac:dyDescent="0.2">
      <c r="A27" s="38" t="s">
        <v>58</v>
      </c>
      <c r="B27" s="41"/>
      <c r="C27" s="24"/>
      <c r="D27" s="24"/>
      <c r="E27" s="40"/>
      <c r="F27" s="24"/>
      <c r="G27" s="6"/>
    </row>
    <row r="28" spans="1:7" x14ac:dyDescent="0.2">
      <c r="A28" s="23" t="s">
        <v>181</v>
      </c>
      <c r="B28" s="24">
        <v>2022.66</v>
      </c>
      <c r="C28" s="24"/>
      <c r="D28" s="24">
        <f>SUM(B28:C28)</f>
        <v>2022.66</v>
      </c>
      <c r="E28" s="40"/>
      <c r="F28" s="24"/>
      <c r="G28" s="6"/>
    </row>
    <row r="29" spans="1:7" x14ac:dyDescent="0.2">
      <c r="A29" s="38" t="s">
        <v>179</v>
      </c>
      <c r="B29" s="41">
        <f>SUM(B28:B28)</f>
        <v>2022.66</v>
      </c>
      <c r="C29" s="41">
        <f>SUM(C28)</f>
        <v>0</v>
      </c>
      <c r="D29" s="41">
        <f>SUM(D28)</f>
        <v>2022.66</v>
      </c>
      <c r="E29" s="40">
        <f>SUM(D29/D39)*100</f>
        <v>0.82529031345147608</v>
      </c>
      <c r="F29" s="27">
        <f>SUM(F28)</f>
        <v>0</v>
      </c>
      <c r="G29" s="6"/>
    </row>
    <row r="30" spans="1:7" x14ac:dyDescent="0.2">
      <c r="A30" s="38" t="s">
        <v>26</v>
      </c>
      <c r="B30" s="41"/>
      <c r="C30" s="24"/>
      <c r="D30" s="24"/>
      <c r="E30" s="40"/>
      <c r="F30" s="24"/>
      <c r="G30" s="6"/>
    </row>
    <row r="31" spans="1:7" x14ac:dyDescent="0.2">
      <c r="A31" s="23"/>
      <c r="B31" s="24">
        <v>0</v>
      </c>
      <c r="C31" s="24"/>
      <c r="D31" s="24">
        <f>SUM(B31:C31)</f>
        <v>0</v>
      </c>
      <c r="E31" s="40"/>
      <c r="F31" s="24"/>
      <c r="G31" s="6"/>
    </row>
    <row r="32" spans="1:7" x14ac:dyDescent="0.2">
      <c r="A32" s="23"/>
      <c r="B32" s="24">
        <v>0</v>
      </c>
      <c r="C32" s="24"/>
      <c r="D32" s="24">
        <f>SUM(B32:C32)</f>
        <v>0</v>
      </c>
      <c r="E32" s="40"/>
      <c r="F32" s="24"/>
      <c r="G32" s="6"/>
    </row>
    <row r="33" spans="1:7" x14ac:dyDescent="0.2">
      <c r="A33" s="38" t="s">
        <v>27</v>
      </c>
      <c r="B33" s="41">
        <f>SUM(B31:B32)</f>
        <v>0</v>
      </c>
      <c r="C33" s="41">
        <f>SUM(C31)</f>
        <v>0</v>
      </c>
      <c r="D33" s="41">
        <f>SUM(B33:C33)</f>
        <v>0</v>
      </c>
      <c r="E33" s="40">
        <f>SUM(D33/D39)*100</f>
        <v>0</v>
      </c>
      <c r="F33" s="27">
        <f>SUM(F31)</f>
        <v>0</v>
      </c>
      <c r="G33" s="6"/>
    </row>
    <row r="34" spans="1:7" x14ac:dyDescent="0.2">
      <c r="A34" s="38" t="s">
        <v>28</v>
      </c>
      <c r="B34" s="27"/>
      <c r="C34" s="24"/>
      <c r="D34" s="24"/>
      <c r="E34" s="40"/>
      <c r="F34" s="24"/>
      <c r="G34" s="6"/>
    </row>
    <row r="35" spans="1:7" x14ac:dyDescent="0.2">
      <c r="A35" s="23" t="s">
        <v>35</v>
      </c>
      <c r="B35" s="24">
        <f>556.29/2</f>
        <v>278.14499999999998</v>
      </c>
      <c r="C35" s="24"/>
      <c r="D35" s="24">
        <f>SUM(B35:C35)</f>
        <v>278.14499999999998</v>
      </c>
      <c r="E35" s="40"/>
      <c r="F35" s="24">
        <v>750.15</v>
      </c>
      <c r="G35" s="6"/>
    </row>
    <row r="36" spans="1:7" x14ac:dyDescent="0.2">
      <c r="A36" s="23" t="s">
        <v>37</v>
      </c>
      <c r="B36" s="24">
        <v>6075.38</v>
      </c>
      <c r="C36" s="24">
        <v>6147.23</v>
      </c>
      <c r="D36" s="24">
        <f>SUM(B36:C36)</f>
        <v>12222.61</v>
      </c>
      <c r="E36" s="40"/>
      <c r="F36" s="24">
        <v>10952.09</v>
      </c>
      <c r="G36" s="6"/>
    </row>
    <row r="37" spans="1:7" x14ac:dyDescent="0.2">
      <c r="A37" s="38" t="s">
        <v>29</v>
      </c>
      <c r="B37" s="41">
        <f>SUM(B35:B36)</f>
        <v>6353.5249999999996</v>
      </c>
      <c r="C37" s="41">
        <f t="shared" ref="C37:D37" si="2">SUM(C35:C36)</f>
        <v>6147.23</v>
      </c>
      <c r="D37" s="41">
        <f t="shared" si="2"/>
        <v>12500.755000000001</v>
      </c>
      <c r="E37" s="40">
        <f>SUM(D37/D39)*100</f>
        <v>5.1005863626759362</v>
      </c>
      <c r="F37" s="27">
        <f>SUM(F35:F36)</f>
        <v>11702.24</v>
      </c>
      <c r="G37" s="6"/>
    </row>
    <row r="38" spans="1:7" x14ac:dyDescent="0.2">
      <c r="A38" s="38"/>
      <c r="B38" s="27"/>
      <c r="C38" s="24"/>
      <c r="D38" s="27"/>
      <c r="E38" s="40"/>
      <c r="F38" s="24"/>
      <c r="G38" s="6"/>
    </row>
    <row r="39" spans="1:7" x14ac:dyDescent="0.2">
      <c r="A39" s="38" t="s">
        <v>30</v>
      </c>
      <c r="B39" s="41">
        <f>SUM(B37,B33,B26,B16,B29,B12)</f>
        <v>137501.315</v>
      </c>
      <c r="C39" s="41">
        <f>SUM(C37,C33,C26,C16,C29,C12)</f>
        <v>107583.34999999999</v>
      </c>
      <c r="D39" s="41">
        <f>SUM(D37,D33,D26,D16,D29,D12)</f>
        <v>245084.66499999998</v>
      </c>
      <c r="E39" s="40">
        <f>SUM(E12:E37)</f>
        <v>100</v>
      </c>
      <c r="F39" s="27">
        <f>F37+F29+F33+F26+F16+F12</f>
        <v>226098.51</v>
      </c>
      <c r="G39" s="6"/>
    </row>
    <row r="40" spans="1:7" x14ac:dyDescent="0.2">
      <c r="A40" s="59"/>
      <c r="B40" s="60"/>
      <c r="C40" s="60"/>
      <c r="D40" s="60"/>
      <c r="E40" s="61"/>
      <c r="F40" s="62"/>
      <c r="G40" s="6"/>
    </row>
    <row r="41" spans="1:7" x14ac:dyDescent="0.2">
      <c r="A41" s="56"/>
      <c r="B41" s="57"/>
      <c r="C41" s="57"/>
      <c r="D41" s="57"/>
      <c r="E41" s="58"/>
      <c r="F41" s="57"/>
      <c r="G41" s="6"/>
    </row>
    <row r="42" spans="1:7" x14ac:dyDescent="0.2">
      <c r="A42" s="42" t="s">
        <v>31</v>
      </c>
      <c r="B42" s="41"/>
      <c r="C42" s="41"/>
      <c r="D42" s="41"/>
      <c r="E42" s="43"/>
      <c r="F42" s="24"/>
      <c r="G42" s="6"/>
    </row>
    <row r="43" spans="1:7" x14ac:dyDescent="0.2">
      <c r="A43" s="46" t="s">
        <v>140</v>
      </c>
      <c r="B43" s="41"/>
      <c r="C43" s="41"/>
      <c r="D43" s="41"/>
      <c r="E43" s="43"/>
      <c r="F43" s="24"/>
      <c r="G43" s="6"/>
    </row>
    <row r="44" spans="1:7" x14ac:dyDescent="0.2">
      <c r="A44" s="45" t="s">
        <v>151</v>
      </c>
      <c r="B44" s="24">
        <v>18832.8</v>
      </c>
      <c r="C44" s="24">
        <v>0</v>
      </c>
      <c r="D44" s="24">
        <f>SUM(B44:C44)</f>
        <v>18832.8</v>
      </c>
      <c r="E44" s="40"/>
      <c r="F44" s="24"/>
      <c r="G44" s="6"/>
    </row>
    <row r="45" spans="1:7" x14ac:dyDescent="0.2">
      <c r="A45" s="42" t="s">
        <v>131</v>
      </c>
      <c r="B45" s="41">
        <f>SUM(B44:B44)</f>
        <v>18832.8</v>
      </c>
      <c r="C45" s="41">
        <f>SUM(C44:C44)</f>
        <v>0</v>
      </c>
      <c r="D45" s="41">
        <f>SUM(D44:D44)</f>
        <v>18832.8</v>
      </c>
      <c r="E45" s="40">
        <f>(D45/D47)*100</f>
        <v>100</v>
      </c>
      <c r="F45" s="24"/>
      <c r="G45" s="6"/>
    </row>
    <row r="46" spans="1:7" x14ac:dyDescent="0.2">
      <c r="A46" s="44"/>
      <c r="B46" s="41"/>
      <c r="C46" s="41"/>
      <c r="D46" s="27"/>
      <c r="E46" s="51"/>
      <c r="F46" s="24"/>
      <c r="G46" s="6"/>
    </row>
    <row r="47" spans="1:7" x14ac:dyDescent="0.2">
      <c r="A47" s="44" t="s">
        <v>60</v>
      </c>
      <c r="B47" s="41">
        <f>B45</f>
        <v>18832.8</v>
      </c>
      <c r="C47" s="41">
        <f t="shared" ref="C47:D47" si="3">C45</f>
        <v>0</v>
      </c>
      <c r="D47" s="41">
        <f t="shared" si="3"/>
        <v>18832.8</v>
      </c>
      <c r="E47" s="49">
        <f>E30+E35+E42+E45</f>
        <v>100</v>
      </c>
      <c r="F47" s="41">
        <f>F45</f>
        <v>0</v>
      </c>
      <c r="G47" s="6"/>
    </row>
    <row r="48" spans="1:7" x14ac:dyDescent="0.2">
      <c r="A48" s="50"/>
      <c r="B48" s="52"/>
      <c r="C48" s="52"/>
      <c r="D48" s="52"/>
      <c r="E48" s="53"/>
      <c r="F48" s="50"/>
    </row>
    <row r="49" spans="1:8" x14ac:dyDescent="0.2">
      <c r="A49" s="23"/>
      <c r="B49" s="24"/>
      <c r="C49" s="24"/>
      <c r="D49" s="24"/>
      <c r="E49" s="40"/>
      <c r="F49" s="24"/>
      <c r="G49" s="6"/>
    </row>
    <row r="50" spans="1:8" x14ac:dyDescent="0.2">
      <c r="A50" s="26" t="s">
        <v>32</v>
      </c>
      <c r="B50" s="27">
        <f>B47-B39</f>
        <v>-118668.515</v>
      </c>
      <c r="C50" s="27">
        <f t="shared" ref="C50:F50" si="4">C47-C39</f>
        <v>-107583.34999999999</v>
      </c>
      <c r="D50" s="27">
        <f>D47-D39</f>
        <v>-226251.86499999999</v>
      </c>
      <c r="E50" s="27"/>
      <c r="F50" s="27">
        <f t="shared" si="4"/>
        <v>-226098.51</v>
      </c>
      <c r="G50" s="6"/>
    </row>
    <row r="51" spans="1:8" x14ac:dyDescent="0.2">
      <c r="A51" s="7"/>
      <c r="B51" s="10"/>
      <c r="C51" s="10"/>
      <c r="D51" s="10"/>
      <c r="E51" s="4"/>
      <c r="F51" s="11"/>
      <c r="G51" s="6"/>
    </row>
    <row r="52" spans="1:8" x14ac:dyDescent="0.2">
      <c r="B52" s="15"/>
      <c r="C52" s="15"/>
      <c r="D52" s="15"/>
    </row>
    <row r="53" spans="1:8" x14ac:dyDescent="0.2">
      <c r="B53" s="15"/>
      <c r="C53" s="15"/>
      <c r="D53" s="15"/>
    </row>
    <row r="54" spans="1:8" x14ac:dyDescent="0.2">
      <c r="B54" s="15"/>
      <c r="C54" s="15"/>
      <c r="D54" s="15"/>
    </row>
    <row r="55" spans="1:8" x14ac:dyDescent="0.2">
      <c r="B55" s="15"/>
      <c r="C55" s="15"/>
      <c r="D55" s="15"/>
    </row>
    <row r="56" spans="1:8" x14ac:dyDescent="0.2">
      <c r="B56" s="15"/>
      <c r="C56" s="15"/>
      <c r="D56" s="15"/>
    </row>
    <row r="57" spans="1:8" x14ac:dyDescent="0.2">
      <c r="B57" s="15"/>
      <c r="C57" s="15"/>
      <c r="D57" s="15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  <row r="282" spans="1:8" s="16" customFormat="1" x14ac:dyDescent="0.2">
      <c r="A282" s="1"/>
      <c r="B282" s="15"/>
      <c r="C282" s="15"/>
      <c r="D282" s="15"/>
      <c r="F282" s="1"/>
      <c r="G282" s="1"/>
      <c r="H282" s="1"/>
    </row>
    <row r="283" spans="1:8" s="16" customFormat="1" x14ac:dyDescent="0.2">
      <c r="A283" s="1"/>
      <c r="B283" s="15"/>
      <c r="C283" s="15"/>
      <c r="D283" s="15"/>
      <c r="F283" s="1"/>
      <c r="G283" s="1"/>
      <c r="H283" s="1"/>
    </row>
    <row r="284" spans="1:8" s="16" customFormat="1" x14ac:dyDescent="0.2">
      <c r="A284" s="1"/>
      <c r="B284" s="15"/>
      <c r="C284" s="15"/>
      <c r="D284" s="15"/>
      <c r="F284" s="1"/>
      <c r="G284" s="1"/>
      <c r="H284" s="1"/>
    </row>
    <row r="285" spans="1:8" s="16" customFormat="1" x14ac:dyDescent="0.2">
      <c r="A285" s="1"/>
      <c r="B285" s="15"/>
      <c r="C285" s="15"/>
      <c r="D285" s="15"/>
      <c r="F285" s="1"/>
      <c r="G285" s="1"/>
      <c r="H285" s="1"/>
    </row>
    <row r="286" spans="1:8" s="16" customFormat="1" x14ac:dyDescent="0.2">
      <c r="A286" s="1"/>
      <c r="B286" s="15"/>
      <c r="C286" s="15"/>
      <c r="D286" s="15"/>
      <c r="F286" s="1"/>
      <c r="G286" s="1"/>
      <c r="H286" s="1"/>
    </row>
    <row r="287" spans="1:8" s="16" customFormat="1" x14ac:dyDescent="0.2">
      <c r="A287" s="1"/>
      <c r="B287" s="15"/>
      <c r="C287" s="15"/>
      <c r="D287" s="15"/>
      <c r="F287" s="1"/>
      <c r="G287" s="1"/>
      <c r="H287" s="1"/>
    </row>
    <row r="288" spans="1:8" s="16" customFormat="1" x14ac:dyDescent="0.2">
      <c r="A288" s="1"/>
      <c r="B288" s="15"/>
      <c r="C288" s="15"/>
      <c r="D288" s="15"/>
      <c r="F288" s="1"/>
      <c r="G288" s="1"/>
      <c r="H288" s="1"/>
    </row>
    <row r="289" spans="1:8" s="16" customFormat="1" x14ac:dyDescent="0.2">
      <c r="A289" s="1"/>
      <c r="B289" s="15"/>
      <c r="C289" s="15"/>
      <c r="D289" s="15"/>
      <c r="F289" s="1"/>
      <c r="G289" s="1"/>
      <c r="H289" s="1"/>
    </row>
    <row r="290" spans="1:8" s="16" customFormat="1" x14ac:dyDescent="0.2">
      <c r="A290" s="1"/>
      <c r="B290" s="15"/>
      <c r="C290" s="15"/>
      <c r="D290" s="15"/>
      <c r="F290" s="1"/>
      <c r="G290" s="1"/>
      <c r="H290" s="1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3:K48"/>
  <sheetViews>
    <sheetView topLeftCell="A31" workbookViewId="0">
      <selection activeCell="D49" sqref="D49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5.85546875" style="21" bestFit="1" customWidth="1"/>
    <col min="5" max="6" width="9.28515625" style="21" bestFit="1" customWidth="1"/>
    <col min="7" max="7" width="10.5703125" style="21" customWidth="1"/>
    <col min="8" max="8" width="12.42578125" style="21" bestFit="1" customWidth="1"/>
    <col min="9" max="9" width="10" style="21" bestFit="1" customWidth="1"/>
    <col min="10" max="10" width="12.42578125" style="21" bestFit="1" customWidth="1"/>
    <col min="11" max="16384" width="9.140625" style="21"/>
  </cols>
  <sheetData>
    <row r="3" spans="1:11" ht="23.25" x14ac:dyDescent="0.35">
      <c r="A3" s="155" t="s">
        <v>46</v>
      </c>
      <c r="B3" s="156"/>
      <c r="C3" s="156"/>
      <c r="D3" s="156"/>
      <c r="E3" s="156"/>
      <c r="F3" s="156"/>
      <c r="G3" s="156"/>
      <c r="H3" s="156"/>
      <c r="I3" s="156"/>
      <c r="J3" s="156"/>
      <c r="K3" s="32"/>
    </row>
    <row r="5" spans="1:11" ht="18.75" x14ac:dyDescent="0.3">
      <c r="A5" s="28" t="s">
        <v>54</v>
      </c>
      <c r="B5" s="139" t="s">
        <v>47</v>
      </c>
      <c r="C5" s="139"/>
      <c r="D5" s="23"/>
      <c r="E5" s="151" t="s">
        <v>76</v>
      </c>
      <c r="F5" s="151"/>
      <c r="G5" s="151"/>
      <c r="H5" s="151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37" t="s">
        <v>59</v>
      </c>
      <c r="I7" s="137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55</v>
      </c>
      <c r="B9" s="24">
        <f>'015'!B12</f>
        <v>104379.6</v>
      </c>
      <c r="C9" s="24">
        <f>'015'!B16</f>
        <v>0</v>
      </c>
      <c r="D9" s="24">
        <f>'015'!B20</f>
        <v>5.88</v>
      </c>
      <c r="E9" s="24">
        <v>0</v>
      </c>
      <c r="F9" s="24">
        <f>'015'!B23</f>
        <v>0</v>
      </c>
      <c r="G9" s="24">
        <f>'015'!B27</f>
        <v>6121.07</v>
      </c>
      <c r="H9" s="24">
        <f>SUM(B9:G9)</f>
        <v>110506.55000000002</v>
      </c>
      <c r="I9" s="24">
        <f>'015'!B36</f>
        <v>26820</v>
      </c>
      <c r="J9" s="24">
        <f>I9-H9</f>
        <v>-83686.550000000017</v>
      </c>
    </row>
    <row r="10" spans="1:11" x14ac:dyDescent="0.2">
      <c r="A10" s="23" t="s">
        <v>82</v>
      </c>
      <c r="B10" s="24">
        <f>'016'!B12</f>
        <v>0</v>
      </c>
      <c r="C10" s="24">
        <f>'016'!B16</f>
        <v>0</v>
      </c>
      <c r="D10" s="24">
        <f>'016'!B21</f>
        <v>26100.98</v>
      </c>
      <c r="E10" s="24">
        <v>0</v>
      </c>
      <c r="F10" s="24">
        <f>'016'!B24</f>
        <v>0</v>
      </c>
      <c r="G10" s="24">
        <f>'016'!B28</f>
        <v>0</v>
      </c>
      <c r="H10" s="24">
        <f>SUM(B10:G10)</f>
        <v>26100.98</v>
      </c>
      <c r="I10" s="24">
        <v>0</v>
      </c>
      <c r="J10" s="24">
        <f t="shared" ref="J10:J15" si="0">I10-H10</f>
        <v>-26100.98</v>
      </c>
    </row>
    <row r="11" spans="1:11" x14ac:dyDescent="0.2">
      <c r="A11" s="23" t="s">
        <v>83</v>
      </c>
      <c r="B11" s="24">
        <f>'017'!B12</f>
        <v>0</v>
      </c>
      <c r="C11" s="24">
        <f>'017'!B16</f>
        <v>0</v>
      </c>
      <c r="D11" s="24">
        <f>'017'!B20</f>
        <v>199728.32</v>
      </c>
      <c r="E11" s="24">
        <v>0</v>
      </c>
      <c r="F11" s="24">
        <f>'017'!B23</f>
        <v>0</v>
      </c>
      <c r="G11" s="24">
        <f>'017'!B27</f>
        <v>0</v>
      </c>
      <c r="H11" s="24">
        <f>SUM(B11:G11)</f>
        <v>199728.32</v>
      </c>
      <c r="I11" s="24">
        <f>'016'!B38</f>
        <v>12967.16</v>
      </c>
      <c r="J11" s="24">
        <f t="shared" si="0"/>
        <v>-186761.16</v>
      </c>
    </row>
    <row r="12" spans="1:11" x14ac:dyDescent="0.2">
      <c r="A12" s="23" t="s">
        <v>84</v>
      </c>
      <c r="B12" s="24">
        <f>'018'!B11</f>
        <v>0</v>
      </c>
      <c r="C12" s="24">
        <f>'018'!B15</f>
        <v>0</v>
      </c>
      <c r="D12" s="24">
        <f>'018'!B23</f>
        <v>1618793.58</v>
      </c>
      <c r="E12" s="24">
        <v>0</v>
      </c>
      <c r="F12" s="24">
        <f>'018'!B28</f>
        <v>2677.6</v>
      </c>
      <c r="G12" s="24">
        <f>'018'!B31</f>
        <v>0</v>
      </c>
      <c r="H12" s="24">
        <f t="shared" ref="H12:H13" si="1">SUM(B12:G12)</f>
        <v>1621471.1800000002</v>
      </c>
      <c r="I12" s="24">
        <f>'018'!B40</f>
        <v>1032</v>
      </c>
      <c r="J12" s="24">
        <f t="shared" si="0"/>
        <v>-1620439.1800000002</v>
      </c>
    </row>
    <row r="13" spans="1:11" x14ac:dyDescent="0.2">
      <c r="A13" s="23" t="s">
        <v>85</v>
      </c>
      <c r="B13" s="24">
        <f>'019'!B12</f>
        <v>0</v>
      </c>
      <c r="C13" s="24">
        <f>'019'!B16</f>
        <v>0</v>
      </c>
      <c r="D13" s="24">
        <f>'019'!B21</f>
        <v>25830.240000000002</v>
      </c>
      <c r="E13" s="24">
        <v>0</v>
      </c>
      <c r="F13" s="24">
        <f>'019'!B25</f>
        <v>0</v>
      </c>
      <c r="G13" s="24">
        <f>'019'!B29</f>
        <v>0</v>
      </c>
      <c r="H13" s="24">
        <f t="shared" si="1"/>
        <v>25830.240000000002</v>
      </c>
      <c r="I13" s="24">
        <v>0</v>
      </c>
      <c r="J13" s="24">
        <f t="shared" si="0"/>
        <v>-25830.240000000002</v>
      </c>
    </row>
    <row r="14" spans="1:11" x14ac:dyDescent="0.2">
      <c r="A14" s="23" t="s">
        <v>86</v>
      </c>
      <c r="B14" s="24">
        <f>'021'!B12</f>
        <v>92776.1</v>
      </c>
      <c r="C14" s="24">
        <f>'021'!B16</f>
        <v>15119.31</v>
      </c>
      <c r="D14" s="24">
        <f>'021'!B26</f>
        <v>21229.72</v>
      </c>
      <c r="E14" s="24">
        <f>'021'!B29</f>
        <v>2022.66</v>
      </c>
      <c r="F14" s="24">
        <f>'021'!B33</f>
        <v>0</v>
      </c>
      <c r="G14" s="24">
        <f>'021'!B37</f>
        <v>6353.5249999999996</v>
      </c>
      <c r="H14" s="24">
        <f>SUM(B14:G14)</f>
        <v>137501.315</v>
      </c>
      <c r="I14" s="24">
        <f>'021'!B47</f>
        <v>18832.8</v>
      </c>
      <c r="J14" s="24">
        <f t="shared" si="0"/>
        <v>-118668.515</v>
      </c>
    </row>
    <row r="15" spans="1:11" x14ac:dyDescent="0.2">
      <c r="A15" s="26" t="s">
        <v>53</v>
      </c>
      <c r="B15" s="27">
        <f>SUM(B9:B14)</f>
        <v>197155.7</v>
      </c>
      <c r="C15" s="27">
        <f t="shared" ref="C15:G15" si="2">SUM(C9:C14)</f>
        <v>15119.31</v>
      </c>
      <c r="D15" s="27">
        <f t="shared" si="2"/>
        <v>1891688.72</v>
      </c>
      <c r="E15" s="27">
        <f t="shared" si="2"/>
        <v>2022.66</v>
      </c>
      <c r="F15" s="27">
        <f t="shared" si="2"/>
        <v>2677.6</v>
      </c>
      <c r="G15" s="27">
        <f t="shared" si="2"/>
        <v>12474.594999999999</v>
      </c>
      <c r="H15" s="27">
        <f>SUM(H9:H14)</f>
        <v>2121138.5850000004</v>
      </c>
      <c r="I15" s="27">
        <f>SUM(I9:I14)</f>
        <v>59651.960000000006</v>
      </c>
      <c r="J15" s="27">
        <f t="shared" si="0"/>
        <v>-2061486.6250000005</v>
      </c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">
      <c r="A21" s="6"/>
    </row>
    <row r="22" spans="1:11" x14ac:dyDescent="0.2">
      <c r="A22" s="6"/>
    </row>
    <row r="38" spans="1:10" ht="18.75" x14ac:dyDescent="0.3">
      <c r="A38" s="28" t="s">
        <v>286</v>
      </c>
      <c r="B38" s="139" t="s">
        <v>47</v>
      </c>
      <c r="C38" s="139"/>
      <c r="D38" s="23"/>
      <c r="E38" s="151" t="s">
        <v>76</v>
      </c>
      <c r="F38" s="151"/>
      <c r="G38" s="151"/>
      <c r="H38" s="151"/>
    </row>
    <row r="39" spans="1:10" x14ac:dyDescent="0.2">
      <c r="B39" s="6"/>
      <c r="C39" s="7"/>
      <c r="D39" s="6"/>
      <c r="E39" s="6"/>
      <c r="F39" s="6"/>
      <c r="G39" s="6"/>
      <c r="H39" s="29" t="s">
        <v>63</v>
      </c>
      <c r="I39" s="29" t="s">
        <v>62</v>
      </c>
      <c r="J39" s="6"/>
    </row>
    <row r="40" spans="1:10" x14ac:dyDescent="0.2">
      <c r="A40" s="23"/>
      <c r="B40" s="23"/>
      <c r="C40" s="138" t="s">
        <v>56</v>
      </c>
      <c r="D40" s="138" t="s">
        <v>57</v>
      </c>
      <c r="E40" s="138" t="s">
        <v>58</v>
      </c>
      <c r="F40" s="138" t="s">
        <v>64</v>
      </c>
      <c r="G40" s="138" t="s">
        <v>2</v>
      </c>
      <c r="H40" s="137" t="s">
        <v>59</v>
      </c>
      <c r="I40" s="137" t="s">
        <v>60</v>
      </c>
      <c r="J40" s="138" t="s">
        <v>61</v>
      </c>
    </row>
    <row r="41" spans="1:10" x14ac:dyDescent="0.2">
      <c r="A41" s="23"/>
      <c r="B41" s="23" t="s">
        <v>49</v>
      </c>
      <c r="C41" s="138"/>
      <c r="D41" s="138"/>
      <c r="E41" s="138"/>
      <c r="F41" s="138"/>
      <c r="G41" s="138"/>
      <c r="H41" s="137"/>
      <c r="I41" s="137"/>
      <c r="J41" s="138"/>
    </row>
    <row r="42" spans="1:10" x14ac:dyDescent="0.2">
      <c r="A42" s="23" t="s">
        <v>55</v>
      </c>
      <c r="B42" s="24">
        <f>'015'!C12</f>
        <v>88519.37</v>
      </c>
      <c r="C42" s="24">
        <f>'015'!C16</f>
        <v>0</v>
      </c>
      <c r="D42" s="24">
        <f>'015'!C20</f>
        <v>0</v>
      </c>
      <c r="E42" s="24">
        <v>0</v>
      </c>
      <c r="F42" s="24">
        <f>'015'!C23</f>
        <v>0</v>
      </c>
      <c r="G42" s="24">
        <f>'015'!C27</f>
        <v>5753.71</v>
      </c>
      <c r="H42" s="24">
        <f>SUM(B42:G42)</f>
        <v>94273.08</v>
      </c>
      <c r="I42" s="24">
        <f>'015'!C36</f>
        <v>0</v>
      </c>
      <c r="J42" s="24">
        <f>I42-H42</f>
        <v>-94273.08</v>
      </c>
    </row>
    <row r="43" spans="1:10" x14ac:dyDescent="0.2">
      <c r="A43" s="23" t="s">
        <v>82</v>
      </c>
      <c r="B43" s="24">
        <f>'016'!C12</f>
        <v>0</v>
      </c>
      <c r="C43" s="24">
        <f>'016'!C16</f>
        <v>0</v>
      </c>
      <c r="D43" s="24">
        <f>'016'!C21</f>
        <v>29685.439999999999</v>
      </c>
      <c r="E43" s="24">
        <v>0</v>
      </c>
      <c r="F43" s="24">
        <f>'016'!C24</f>
        <v>0</v>
      </c>
      <c r="G43" s="24">
        <f>'016'!C28</f>
        <v>0</v>
      </c>
      <c r="H43" s="24">
        <f>SUM(B43:G43)</f>
        <v>29685.439999999999</v>
      </c>
      <c r="I43" s="24">
        <f>'016'!C38</f>
        <v>13115.54</v>
      </c>
      <c r="J43" s="24">
        <f t="shared" ref="J43:J48" si="3">I43-H43</f>
        <v>-16569.899999999998</v>
      </c>
    </row>
    <row r="44" spans="1:10" x14ac:dyDescent="0.2">
      <c r="A44" s="23" t="s">
        <v>83</v>
      </c>
      <c r="B44" s="24">
        <f>'017'!C12</f>
        <v>0</v>
      </c>
      <c r="C44" s="24">
        <f>'017'!C16</f>
        <v>0</v>
      </c>
      <c r="D44" s="24">
        <f>'017'!C20</f>
        <v>0</v>
      </c>
      <c r="E44" s="24">
        <v>0</v>
      </c>
      <c r="F44" s="24">
        <f>'017'!C23</f>
        <v>0</v>
      </c>
      <c r="G44" s="24">
        <f>'017'!C27</f>
        <v>0</v>
      </c>
      <c r="H44" s="24">
        <f>SUM(B44:G44)</f>
        <v>0</v>
      </c>
      <c r="I44" s="24">
        <f>'016'!B64</f>
        <v>0</v>
      </c>
      <c r="J44" s="24">
        <f t="shared" si="3"/>
        <v>0</v>
      </c>
    </row>
    <row r="45" spans="1:10" x14ac:dyDescent="0.2">
      <c r="A45" s="23" t="s">
        <v>84</v>
      </c>
      <c r="B45" s="24">
        <f>'018'!C11</f>
        <v>0</v>
      </c>
      <c r="C45" s="24">
        <f>'018'!C15</f>
        <v>0</v>
      </c>
      <c r="D45" s="24">
        <f>'018'!C23</f>
        <v>3675.98</v>
      </c>
      <c r="E45" s="24">
        <v>0</v>
      </c>
      <c r="F45" s="24">
        <f>'018'!C28</f>
        <v>0</v>
      </c>
      <c r="G45" s="24">
        <f>'018'!C31</f>
        <v>0</v>
      </c>
      <c r="H45" s="24">
        <f t="shared" ref="H45:H46" si="4">SUM(B45:G45)</f>
        <v>3675.98</v>
      </c>
      <c r="I45" s="24">
        <f>'018'!C40</f>
        <v>12299.07</v>
      </c>
      <c r="J45" s="24">
        <f t="shared" si="3"/>
        <v>8623.09</v>
      </c>
    </row>
    <row r="46" spans="1:10" x14ac:dyDescent="0.2">
      <c r="A46" s="23" t="s">
        <v>85</v>
      </c>
      <c r="B46" s="24">
        <f>'019'!C12</f>
        <v>0</v>
      </c>
      <c r="C46" s="24">
        <f>'019'!B49</f>
        <v>0</v>
      </c>
      <c r="D46" s="24">
        <f>'019'!B54</f>
        <v>0</v>
      </c>
      <c r="E46" s="24">
        <v>0</v>
      </c>
      <c r="F46" s="24">
        <f>'018'!C28</f>
        <v>0</v>
      </c>
      <c r="G46" s="24">
        <f>'019'!B62</f>
        <v>0</v>
      </c>
      <c r="H46" s="24">
        <f t="shared" si="4"/>
        <v>0</v>
      </c>
      <c r="I46" s="24">
        <v>0</v>
      </c>
      <c r="J46" s="24">
        <f t="shared" si="3"/>
        <v>0</v>
      </c>
    </row>
    <row r="47" spans="1:10" x14ac:dyDescent="0.2">
      <c r="A47" s="23" t="s">
        <v>86</v>
      </c>
      <c r="B47" s="24">
        <f>'021'!C12</f>
        <v>99552.62</v>
      </c>
      <c r="C47" s="24">
        <f>'021'!C16</f>
        <v>0</v>
      </c>
      <c r="D47" s="24">
        <f>'021'!C26</f>
        <v>1883.5</v>
      </c>
      <c r="E47" s="24">
        <f>'021'!C29</f>
        <v>0</v>
      </c>
      <c r="F47" s="24">
        <f>'021'!C33</f>
        <v>0</v>
      </c>
      <c r="G47" s="24">
        <f>'021'!C37</f>
        <v>6147.23</v>
      </c>
      <c r="H47" s="24">
        <f>SUM(B47:G47)</f>
        <v>107583.34999999999</v>
      </c>
      <c r="I47" s="24">
        <f>'021'!C47</f>
        <v>0</v>
      </c>
      <c r="J47" s="24">
        <f t="shared" si="3"/>
        <v>-107583.34999999999</v>
      </c>
    </row>
    <row r="48" spans="1:10" x14ac:dyDescent="0.2">
      <c r="A48" s="26" t="s">
        <v>53</v>
      </c>
      <c r="B48" s="27">
        <f>SUM(B42:B47)</f>
        <v>188071.99</v>
      </c>
      <c r="C48" s="27">
        <f>SUM(C42:C47)</f>
        <v>0</v>
      </c>
      <c r="D48" s="27">
        <f>SUM(D42:ED47)</f>
        <v>97975.08</v>
      </c>
      <c r="E48" s="27">
        <f t="shared" ref="E48:G48" si="5">SUM(E42:E47)</f>
        <v>0</v>
      </c>
      <c r="F48" s="27">
        <f t="shared" si="5"/>
        <v>0</v>
      </c>
      <c r="G48" s="27">
        <f t="shared" si="5"/>
        <v>11900.939999999999</v>
      </c>
      <c r="H48" s="27">
        <f>SUM(H42:H47)</f>
        <v>235217.84999999998</v>
      </c>
      <c r="I48" s="27">
        <f>SUM(I42:I47)</f>
        <v>25414.61</v>
      </c>
      <c r="J48" s="27">
        <f t="shared" si="3"/>
        <v>-209803.24</v>
      </c>
    </row>
  </sheetData>
  <mergeCells count="21">
    <mergeCell ref="A3:J3"/>
    <mergeCell ref="I7:I8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40:I41"/>
    <mergeCell ref="J40:J41"/>
    <mergeCell ref="B38:C38"/>
    <mergeCell ref="E38:H38"/>
    <mergeCell ref="C40:C41"/>
    <mergeCell ref="D40:D41"/>
    <mergeCell ref="E40:E41"/>
    <mergeCell ref="F40:F41"/>
    <mergeCell ref="G40:G41"/>
    <mergeCell ref="H40:H41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zoomScale="85" workbookViewId="0">
      <selection activeCell="E4" sqref="E4:H6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27.7109375" style="64" customWidth="1"/>
    <col min="9" max="9" width="0" style="64" hidden="1" customWidth="1"/>
    <col min="10" max="11" width="2.85546875" style="64" customWidth="1"/>
    <col min="12" max="246" width="9.140625" style="64"/>
    <col min="247" max="247" width="2" style="64" customWidth="1"/>
    <col min="248" max="249" width="9.140625" style="64"/>
    <col min="250" max="250" width="7.28515625" style="64" customWidth="1"/>
    <col min="251" max="251" width="2.85546875" style="64" customWidth="1"/>
    <col min="252" max="252" width="9.140625" style="64"/>
    <col min="253" max="253" width="10.5703125" style="64" customWidth="1"/>
    <col min="254" max="254" width="7.85546875" style="64" customWidth="1"/>
    <col min="255" max="255" width="2.85546875" style="64" customWidth="1"/>
    <col min="256" max="256" width="21" style="64" customWidth="1"/>
    <col min="257" max="257" width="23.5703125" style="64" customWidth="1"/>
    <col min="258" max="258" width="12.140625" style="64" customWidth="1"/>
    <col min="259" max="259" width="3.28515625" style="64" customWidth="1"/>
    <col min="260" max="260" width="26.85546875" style="64" customWidth="1"/>
    <col min="261" max="261" width="0" style="64" hidden="1" customWidth="1"/>
    <col min="262" max="262" width="2.140625" style="64" customWidth="1"/>
    <col min="263" max="502" width="9.140625" style="64"/>
    <col min="503" max="503" width="2" style="64" customWidth="1"/>
    <col min="504" max="505" width="9.140625" style="64"/>
    <col min="506" max="506" width="7.28515625" style="64" customWidth="1"/>
    <col min="507" max="507" width="2.85546875" style="64" customWidth="1"/>
    <col min="508" max="508" width="9.140625" style="64"/>
    <col min="509" max="509" width="10.5703125" style="64" customWidth="1"/>
    <col min="510" max="510" width="7.85546875" style="64" customWidth="1"/>
    <col min="511" max="511" width="2.85546875" style="64" customWidth="1"/>
    <col min="512" max="512" width="21" style="64" customWidth="1"/>
    <col min="513" max="513" width="23.5703125" style="64" customWidth="1"/>
    <col min="514" max="514" width="12.140625" style="64" customWidth="1"/>
    <col min="515" max="515" width="3.28515625" style="64" customWidth="1"/>
    <col min="516" max="516" width="26.85546875" style="64" customWidth="1"/>
    <col min="517" max="517" width="0" style="64" hidden="1" customWidth="1"/>
    <col min="518" max="518" width="2.140625" style="64" customWidth="1"/>
    <col min="519" max="758" width="9.140625" style="64"/>
    <col min="759" max="759" width="2" style="64" customWidth="1"/>
    <col min="760" max="761" width="9.140625" style="64"/>
    <col min="762" max="762" width="7.28515625" style="64" customWidth="1"/>
    <col min="763" max="763" width="2.85546875" style="64" customWidth="1"/>
    <col min="764" max="764" width="9.140625" style="64"/>
    <col min="765" max="765" width="10.5703125" style="64" customWidth="1"/>
    <col min="766" max="766" width="7.85546875" style="64" customWidth="1"/>
    <col min="767" max="767" width="2.85546875" style="64" customWidth="1"/>
    <col min="768" max="768" width="21" style="64" customWidth="1"/>
    <col min="769" max="769" width="23.5703125" style="64" customWidth="1"/>
    <col min="770" max="770" width="12.140625" style="64" customWidth="1"/>
    <col min="771" max="771" width="3.28515625" style="64" customWidth="1"/>
    <col min="772" max="772" width="26.85546875" style="64" customWidth="1"/>
    <col min="773" max="773" width="0" style="64" hidden="1" customWidth="1"/>
    <col min="774" max="774" width="2.140625" style="64" customWidth="1"/>
    <col min="775" max="1014" width="9.140625" style="64"/>
    <col min="1015" max="1015" width="2" style="64" customWidth="1"/>
    <col min="1016" max="1017" width="9.140625" style="64"/>
    <col min="1018" max="1018" width="7.28515625" style="64" customWidth="1"/>
    <col min="1019" max="1019" width="2.85546875" style="64" customWidth="1"/>
    <col min="1020" max="1020" width="9.140625" style="64"/>
    <col min="1021" max="1021" width="10.5703125" style="64" customWidth="1"/>
    <col min="1022" max="1022" width="7.85546875" style="64" customWidth="1"/>
    <col min="1023" max="1023" width="2.85546875" style="64" customWidth="1"/>
    <col min="1024" max="1024" width="21" style="64" customWidth="1"/>
    <col min="1025" max="1025" width="23.5703125" style="64" customWidth="1"/>
    <col min="1026" max="1026" width="12.140625" style="64" customWidth="1"/>
    <col min="1027" max="1027" width="3.28515625" style="64" customWidth="1"/>
    <col min="1028" max="1028" width="26.85546875" style="64" customWidth="1"/>
    <col min="1029" max="1029" width="0" style="64" hidden="1" customWidth="1"/>
    <col min="1030" max="1030" width="2.140625" style="64" customWidth="1"/>
    <col min="1031" max="1270" width="9.140625" style="64"/>
    <col min="1271" max="1271" width="2" style="64" customWidth="1"/>
    <col min="1272" max="1273" width="9.140625" style="64"/>
    <col min="1274" max="1274" width="7.28515625" style="64" customWidth="1"/>
    <col min="1275" max="1275" width="2.85546875" style="64" customWidth="1"/>
    <col min="1276" max="1276" width="9.140625" style="64"/>
    <col min="1277" max="1277" width="10.5703125" style="64" customWidth="1"/>
    <col min="1278" max="1278" width="7.85546875" style="64" customWidth="1"/>
    <col min="1279" max="1279" width="2.85546875" style="64" customWidth="1"/>
    <col min="1280" max="1280" width="21" style="64" customWidth="1"/>
    <col min="1281" max="1281" width="23.5703125" style="64" customWidth="1"/>
    <col min="1282" max="1282" width="12.140625" style="64" customWidth="1"/>
    <col min="1283" max="1283" width="3.28515625" style="64" customWidth="1"/>
    <col min="1284" max="1284" width="26.85546875" style="64" customWidth="1"/>
    <col min="1285" max="1285" width="0" style="64" hidden="1" customWidth="1"/>
    <col min="1286" max="1286" width="2.140625" style="64" customWidth="1"/>
    <col min="1287" max="1526" width="9.140625" style="64"/>
    <col min="1527" max="1527" width="2" style="64" customWidth="1"/>
    <col min="1528" max="1529" width="9.140625" style="64"/>
    <col min="1530" max="1530" width="7.28515625" style="64" customWidth="1"/>
    <col min="1531" max="1531" width="2.85546875" style="64" customWidth="1"/>
    <col min="1532" max="1532" width="9.140625" style="64"/>
    <col min="1533" max="1533" width="10.5703125" style="64" customWidth="1"/>
    <col min="1534" max="1534" width="7.85546875" style="64" customWidth="1"/>
    <col min="1535" max="1535" width="2.85546875" style="64" customWidth="1"/>
    <col min="1536" max="1536" width="21" style="64" customWidth="1"/>
    <col min="1537" max="1537" width="23.5703125" style="64" customWidth="1"/>
    <col min="1538" max="1538" width="12.140625" style="64" customWidth="1"/>
    <col min="1539" max="1539" width="3.28515625" style="64" customWidth="1"/>
    <col min="1540" max="1540" width="26.85546875" style="64" customWidth="1"/>
    <col min="1541" max="1541" width="0" style="64" hidden="1" customWidth="1"/>
    <col min="1542" max="1542" width="2.140625" style="64" customWidth="1"/>
    <col min="1543" max="1782" width="9.140625" style="64"/>
    <col min="1783" max="1783" width="2" style="64" customWidth="1"/>
    <col min="1784" max="1785" width="9.140625" style="64"/>
    <col min="1786" max="1786" width="7.28515625" style="64" customWidth="1"/>
    <col min="1787" max="1787" width="2.85546875" style="64" customWidth="1"/>
    <col min="1788" max="1788" width="9.140625" style="64"/>
    <col min="1789" max="1789" width="10.5703125" style="64" customWidth="1"/>
    <col min="1790" max="1790" width="7.85546875" style="64" customWidth="1"/>
    <col min="1791" max="1791" width="2.85546875" style="64" customWidth="1"/>
    <col min="1792" max="1792" width="21" style="64" customWidth="1"/>
    <col min="1793" max="1793" width="23.5703125" style="64" customWidth="1"/>
    <col min="1794" max="1794" width="12.140625" style="64" customWidth="1"/>
    <col min="1795" max="1795" width="3.28515625" style="64" customWidth="1"/>
    <col min="1796" max="1796" width="26.85546875" style="64" customWidth="1"/>
    <col min="1797" max="1797" width="0" style="64" hidden="1" customWidth="1"/>
    <col min="1798" max="1798" width="2.140625" style="64" customWidth="1"/>
    <col min="1799" max="2038" width="9.140625" style="64"/>
    <col min="2039" max="2039" width="2" style="64" customWidth="1"/>
    <col min="2040" max="2041" width="9.140625" style="64"/>
    <col min="2042" max="2042" width="7.28515625" style="64" customWidth="1"/>
    <col min="2043" max="2043" width="2.85546875" style="64" customWidth="1"/>
    <col min="2044" max="2044" width="9.140625" style="64"/>
    <col min="2045" max="2045" width="10.5703125" style="64" customWidth="1"/>
    <col min="2046" max="2046" width="7.85546875" style="64" customWidth="1"/>
    <col min="2047" max="2047" width="2.85546875" style="64" customWidth="1"/>
    <col min="2048" max="2048" width="21" style="64" customWidth="1"/>
    <col min="2049" max="2049" width="23.5703125" style="64" customWidth="1"/>
    <col min="2050" max="2050" width="12.140625" style="64" customWidth="1"/>
    <col min="2051" max="2051" width="3.28515625" style="64" customWidth="1"/>
    <col min="2052" max="2052" width="26.85546875" style="64" customWidth="1"/>
    <col min="2053" max="2053" width="0" style="64" hidden="1" customWidth="1"/>
    <col min="2054" max="2054" width="2.140625" style="64" customWidth="1"/>
    <col min="2055" max="2294" width="9.140625" style="64"/>
    <col min="2295" max="2295" width="2" style="64" customWidth="1"/>
    <col min="2296" max="2297" width="9.140625" style="64"/>
    <col min="2298" max="2298" width="7.28515625" style="64" customWidth="1"/>
    <col min="2299" max="2299" width="2.85546875" style="64" customWidth="1"/>
    <col min="2300" max="2300" width="9.140625" style="64"/>
    <col min="2301" max="2301" width="10.5703125" style="64" customWidth="1"/>
    <col min="2302" max="2302" width="7.85546875" style="64" customWidth="1"/>
    <col min="2303" max="2303" width="2.85546875" style="64" customWidth="1"/>
    <col min="2304" max="2304" width="21" style="64" customWidth="1"/>
    <col min="2305" max="2305" width="23.5703125" style="64" customWidth="1"/>
    <col min="2306" max="2306" width="12.140625" style="64" customWidth="1"/>
    <col min="2307" max="2307" width="3.28515625" style="64" customWidth="1"/>
    <col min="2308" max="2308" width="26.85546875" style="64" customWidth="1"/>
    <col min="2309" max="2309" width="0" style="64" hidden="1" customWidth="1"/>
    <col min="2310" max="2310" width="2.140625" style="64" customWidth="1"/>
    <col min="2311" max="2550" width="9.140625" style="64"/>
    <col min="2551" max="2551" width="2" style="64" customWidth="1"/>
    <col min="2552" max="2553" width="9.140625" style="64"/>
    <col min="2554" max="2554" width="7.28515625" style="64" customWidth="1"/>
    <col min="2555" max="2555" width="2.85546875" style="64" customWidth="1"/>
    <col min="2556" max="2556" width="9.140625" style="64"/>
    <col min="2557" max="2557" width="10.5703125" style="64" customWidth="1"/>
    <col min="2558" max="2558" width="7.85546875" style="64" customWidth="1"/>
    <col min="2559" max="2559" width="2.85546875" style="64" customWidth="1"/>
    <col min="2560" max="2560" width="21" style="64" customWidth="1"/>
    <col min="2561" max="2561" width="23.5703125" style="64" customWidth="1"/>
    <col min="2562" max="2562" width="12.140625" style="64" customWidth="1"/>
    <col min="2563" max="2563" width="3.28515625" style="64" customWidth="1"/>
    <col min="2564" max="2564" width="26.85546875" style="64" customWidth="1"/>
    <col min="2565" max="2565" width="0" style="64" hidden="1" customWidth="1"/>
    <col min="2566" max="2566" width="2.140625" style="64" customWidth="1"/>
    <col min="2567" max="2806" width="9.140625" style="64"/>
    <col min="2807" max="2807" width="2" style="64" customWidth="1"/>
    <col min="2808" max="2809" width="9.140625" style="64"/>
    <col min="2810" max="2810" width="7.28515625" style="64" customWidth="1"/>
    <col min="2811" max="2811" width="2.85546875" style="64" customWidth="1"/>
    <col min="2812" max="2812" width="9.140625" style="64"/>
    <col min="2813" max="2813" width="10.5703125" style="64" customWidth="1"/>
    <col min="2814" max="2814" width="7.85546875" style="64" customWidth="1"/>
    <col min="2815" max="2815" width="2.85546875" style="64" customWidth="1"/>
    <col min="2816" max="2816" width="21" style="64" customWidth="1"/>
    <col min="2817" max="2817" width="23.5703125" style="64" customWidth="1"/>
    <col min="2818" max="2818" width="12.140625" style="64" customWidth="1"/>
    <col min="2819" max="2819" width="3.28515625" style="64" customWidth="1"/>
    <col min="2820" max="2820" width="26.85546875" style="64" customWidth="1"/>
    <col min="2821" max="2821" width="0" style="64" hidden="1" customWidth="1"/>
    <col min="2822" max="2822" width="2.140625" style="64" customWidth="1"/>
    <col min="2823" max="3062" width="9.140625" style="64"/>
    <col min="3063" max="3063" width="2" style="64" customWidth="1"/>
    <col min="3064" max="3065" width="9.140625" style="64"/>
    <col min="3066" max="3066" width="7.28515625" style="64" customWidth="1"/>
    <col min="3067" max="3067" width="2.85546875" style="64" customWidth="1"/>
    <col min="3068" max="3068" width="9.140625" style="64"/>
    <col min="3069" max="3069" width="10.5703125" style="64" customWidth="1"/>
    <col min="3070" max="3070" width="7.85546875" style="64" customWidth="1"/>
    <col min="3071" max="3071" width="2.85546875" style="64" customWidth="1"/>
    <col min="3072" max="3072" width="21" style="64" customWidth="1"/>
    <col min="3073" max="3073" width="23.5703125" style="64" customWidth="1"/>
    <col min="3074" max="3074" width="12.140625" style="64" customWidth="1"/>
    <col min="3075" max="3075" width="3.28515625" style="64" customWidth="1"/>
    <col min="3076" max="3076" width="26.85546875" style="64" customWidth="1"/>
    <col min="3077" max="3077" width="0" style="64" hidden="1" customWidth="1"/>
    <col min="3078" max="3078" width="2.140625" style="64" customWidth="1"/>
    <col min="3079" max="3318" width="9.140625" style="64"/>
    <col min="3319" max="3319" width="2" style="64" customWidth="1"/>
    <col min="3320" max="3321" width="9.140625" style="64"/>
    <col min="3322" max="3322" width="7.28515625" style="64" customWidth="1"/>
    <col min="3323" max="3323" width="2.85546875" style="64" customWidth="1"/>
    <col min="3324" max="3324" width="9.140625" style="64"/>
    <col min="3325" max="3325" width="10.5703125" style="64" customWidth="1"/>
    <col min="3326" max="3326" width="7.85546875" style="64" customWidth="1"/>
    <col min="3327" max="3327" width="2.85546875" style="64" customWidth="1"/>
    <col min="3328" max="3328" width="21" style="64" customWidth="1"/>
    <col min="3329" max="3329" width="23.5703125" style="64" customWidth="1"/>
    <col min="3330" max="3330" width="12.140625" style="64" customWidth="1"/>
    <col min="3331" max="3331" width="3.28515625" style="64" customWidth="1"/>
    <col min="3332" max="3332" width="26.85546875" style="64" customWidth="1"/>
    <col min="3333" max="3333" width="0" style="64" hidden="1" customWidth="1"/>
    <col min="3334" max="3334" width="2.140625" style="64" customWidth="1"/>
    <col min="3335" max="3574" width="9.140625" style="64"/>
    <col min="3575" max="3575" width="2" style="64" customWidth="1"/>
    <col min="3576" max="3577" width="9.140625" style="64"/>
    <col min="3578" max="3578" width="7.28515625" style="64" customWidth="1"/>
    <col min="3579" max="3579" width="2.85546875" style="64" customWidth="1"/>
    <col min="3580" max="3580" width="9.140625" style="64"/>
    <col min="3581" max="3581" width="10.5703125" style="64" customWidth="1"/>
    <col min="3582" max="3582" width="7.85546875" style="64" customWidth="1"/>
    <col min="3583" max="3583" width="2.85546875" style="64" customWidth="1"/>
    <col min="3584" max="3584" width="21" style="64" customWidth="1"/>
    <col min="3585" max="3585" width="23.5703125" style="64" customWidth="1"/>
    <col min="3586" max="3586" width="12.140625" style="64" customWidth="1"/>
    <col min="3587" max="3587" width="3.28515625" style="64" customWidth="1"/>
    <col min="3588" max="3588" width="26.85546875" style="64" customWidth="1"/>
    <col min="3589" max="3589" width="0" style="64" hidden="1" customWidth="1"/>
    <col min="3590" max="3590" width="2.140625" style="64" customWidth="1"/>
    <col min="3591" max="3830" width="9.140625" style="64"/>
    <col min="3831" max="3831" width="2" style="64" customWidth="1"/>
    <col min="3832" max="3833" width="9.140625" style="64"/>
    <col min="3834" max="3834" width="7.28515625" style="64" customWidth="1"/>
    <col min="3835" max="3835" width="2.85546875" style="64" customWidth="1"/>
    <col min="3836" max="3836" width="9.140625" style="64"/>
    <col min="3837" max="3837" width="10.5703125" style="64" customWidth="1"/>
    <col min="3838" max="3838" width="7.85546875" style="64" customWidth="1"/>
    <col min="3839" max="3839" width="2.85546875" style="64" customWidth="1"/>
    <col min="3840" max="3840" width="21" style="64" customWidth="1"/>
    <col min="3841" max="3841" width="23.5703125" style="64" customWidth="1"/>
    <col min="3842" max="3842" width="12.140625" style="64" customWidth="1"/>
    <col min="3843" max="3843" width="3.28515625" style="64" customWidth="1"/>
    <col min="3844" max="3844" width="26.85546875" style="64" customWidth="1"/>
    <col min="3845" max="3845" width="0" style="64" hidden="1" customWidth="1"/>
    <col min="3846" max="3846" width="2.140625" style="64" customWidth="1"/>
    <col min="3847" max="4086" width="9.140625" style="64"/>
    <col min="4087" max="4087" width="2" style="64" customWidth="1"/>
    <col min="4088" max="4089" width="9.140625" style="64"/>
    <col min="4090" max="4090" width="7.28515625" style="64" customWidth="1"/>
    <col min="4091" max="4091" width="2.85546875" style="64" customWidth="1"/>
    <col min="4092" max="4092" width="9.140625" style="64"/>
    <col min="4093" max="4093" width="10.5703125" style="64" customWidth="1"/>
    <col min="4094" max="4094" width="7.85546875" style="64" customWidth="1"/>
    <col min="4095" max="4095" width="2.85546875" style="64" customWidth="1"/>
    <col min="4096" max="4096" width="21" style="64" customWidth="1"/>
    <col min="4097" max="4097" width="23.5703125" style="64" customWidth="1"/>
    <col min="4098" max="4098" width="12.140625" style="64" customWidth="1"/>
    <col min="4099" max="4099" width="3.28515625" style="64" customWidth="1"/>
    <col min="4100" max="4100" width="26.85546875" style="64" customWidth="1"/>
    <col min="4101" max="4101" width="0" style="64" hidden="1" customWidth="1"/>
    <col min="4102" max="4102" width="2.140625" style="64" customWidth="1"/>
    <col min="4103" max="4342" width="9.140625" style="64"/>
    <col min="4343" max="4343" width="2" style="64" customWidth="1"/>
    <col min="4344" max="4345" width="9.140625" style="64"/>
    <col min="4346" max="4346" width="7.28515625" style="64" customWidth="1"/>
    <col min="4347" max="4347" width="2.85546875" style="64" customWidth="1"/>
    <col min="4348" max="4348" width="9.140625" style="64"/>
    <col min="4349" max="4349" width="10.5703125" style="64" customWidth="1"/>
    <col min="4350" max="4350" width="7.85546875" style="64" customWidth="1"/>
    <col min="4351" max="4351" width="2.85546875" style="64" customWidth="1"/>
    <col min="4352" max="4352" width="21" style="64" customWidth="1"/>
    <col min="4353" max="4353" width="23.5703125" style="64" customWidth="1"/>
    <col min="4354" max="4354" width="12.140625" style="64" customWidth="1"/>
    <col min="4355" max="4355" width="3.28515625" style="64" customWidth="1"/>
    <col min="4356" max="4356" width="26.85546875" style="64" customWidth="1"/>
    <col min="4357" max="4357" width="0" style="64" hidden="1" customWidth="1"/>
    <col min="4358" max="4358" width="2.140625" style="64" customWidth="1"/>
    <col min="4359" max="4598" width="9.140625" style="64"/>
    <col min="4599" max="4599" width="2" style="64" customWidth="1"/>
    <col min="4600" max="4601" width="9.140625" style="64"/>
    <col min="4602" max="4602" width="7.28515625" style="64" customWidth="1"/>
    <col min="4603" max="4603" width="2.85546875" style="64" customWidth="1"/>
    <col min="4604" max="4604" width="9.140625" style="64"/>
    <col min="4605" max="4605" width="10.5703125" style="64" customWidth="1"/>
    <col min="4606" max="4606" width="7.85546875" style="64" customWidth="1"/>
    <col min="4607" max="4607" width="2.85546875" style="64" customWidth="1"/>
    <col min="4608" max="4608" width="21" style="64" customWidth="1"/>
    <col min="4609" max="4609" width="23.5703125" style="64" customWidth="1"/>
    <col min="4610" max="4610" width="12.140625" style="64" customWidth="1"/>
    <col min="4611" max="4611" width="3.28515625" style="64" customWidth="1"/>
    <col min="4612" max="4612" width="26.85546875" style="64" customWidth="1"/>
    <col min="4613" max="4613" width="0" style="64" hidden="1" customWidth="1"/>
    <col min="4614" max="4614" width="2.140625" style="64" customWidth="1"/>
    <col min="4615" max="4854" width="9.140625" style="64"/>
    <col min="4855" max="4855" width="2" style="64" customWidth="1"/>
    <col min="4856" max="4857" width="9.140625" style="64"/>
    <col min="4858" max="4858" width="7.28515625" style="64" customWidth="1"/>
    <col min="4859" max="4859" width="2.85546875" style="64" customWidth="1"/>
    <col min="4860" max="4860" width="9.140625" style="64"/>
    <col min="4861" max="4861" width="10.5703125" style="64" customWidth="1"/>
    <col min="4862" max="4862" width="7.85546875" style="64" customWidth="1"/>
    <col min="4863" max="4863" width="2.85546875" style="64" customWidth="1"/>
    <col min="4864" max="4864" width="21" style="64" customWidth="1"/>
    <col min="4865" max="4865" width="23.5703125" style="64" customWidth="1"/>
    <col min="4866" max="4866" width="12.140625" style="64" customWidth="1"/>
    <col min="4867" max="4867" width="3.28515625" style="64" customWidth="1"/>
    <col min="4868" max="4868" width="26.85546875" style="64" customWidth="1"/>
    <col min="4869" max="4869" width="0" style="64" hidden="1" customWidth="1"/>
    <col min="4870" max="4870" width="2.140625" style="64" customWidth="1"/>
    <col min="4871" max="5110" width="9.140625" style="64"/>
    <col min="5111" max="5111" width="2" style="64" customWidth="1"/>
    <col min="5112" max="5113" width="9.140625" style="64"/>
    <col min="5114" max="5114" width="7.28515625" style="64" customWidth="1"/>
    <col min="5115" max="5115" width="2.85546875" style="64" customWidth="1"/>
    <col min="5116" max="5116" width="9.140625" style="64"/>
    <col min="5117" max="5117" width="10.5703125" style="64" customWidth="1"/>
    <col min="5118" max="5118" width="7.85546875" style="64" customWidth="1"/>
    <col min="5119" max="5119" width="2.85546875" style="64" customWidth="1"/>
    <col min="5120" max="5120" width="21" style="64" customWidth="1"/>
    <col min="5121" max="5121" width="23.5703125" style="64" customWidth="1"/>
    <col min="5122" max="5122" width="12.140625" style="64" customWidth="1"/>
    <col min="5123" max="5123" width="3.28515625" style="64" customWidth="1"/>
    <col min="5124" max="5124" width="26.85546875" style="64" customWidth="1"/>
    <col min="5125" max="5125" width="0" style="64" hidden="1" customWidth="1"/>
    <col min="5126" max="5126" width="2.140625" style="64" customWidth="1"/>
    <col min="5127" max="5366" width="9.140625" style="64"/>
    <col min="5367" max="5367" width="2" style="64" customWidth="1"/>
    <col min="5368" max="5369" width="9.140625" style="64"/>
    <col min="5370" max="5370" width="7.28515625" style="64" customWidth="1"/>
    <col min="5371" max="5371" width="2.85546875" style="64" customWidth="1"/>
    <col min="5372" max="5372" width="9.140625" style="64"/>
    <col min="5373" max="5373" width="10.5703125" style="64" customWidth="1"/>
    <col min="5374" max="5374" width="7.85546875" style="64" customWidth="1"/>
    <col min="5375" max="5375" width="2.85546875" style="64" customWidth="1"/>
    <col min="5376" max="5376" width="21" style="64" customWidth="1"/>
    <col min="5377" max="5377" width="23.5703125" style="64" customWidth="1"/>
    <col min="5378" max="5378" width="12.140625" style="64" customWidth="1"/>
    <col min="5379" max="5379" width="3.28515625" style="64" customWidth="1"/>
    <col min="5380" max="5380" width="26.85546875" style="64" customWidth="1"/>
    <col min="5381" max="5381" width="0" style="64" hidden="1" customWidth="1"/>
    <col min="5382" max="5382" width="2.140625" style="64" customWidth="1"/>
    <col min="5383" max="5622" width="9.140625" style="64"/>
    <col min="5623" max="5623" width="2" style="64" customWidth="1"/>
    <col min="5624" max="5625" width="9.140625" style="64"/>
    <col min="5626" max="5626" width="7.28515625" style="64" customWidth="1"/>
    <col min="5627" max="5627" width="2.85546875" style="64" customWidth="1"/>
    <col min="5628" max="5628" width="9.140625" style="64"/>
    <col min="5629" max="5629" width="10.5703125" style="64" customWidth="1"/>
    <col min="5630" max="5630" width="7.85546875" style="64" customWidth="1"/>
    <col min="5631" max="5631" width="2.85546875" style="64" customWidth="1"/>
    <col min="5632" max="5632" width="21" style="64" customWidth="1"/>
    <col min="5633" max="5633" width="23.5703125" style="64" customWidth="1"/>
    <col min="5634" max="5634" width="12.140625" style="64" customWidth="1"/>
    <col min="5635" max="5635" width="3.28515625" style="64" customWidth="1"/>
    <col min="5636" max="5636" width="26.85546875" style="64" customWidth="1"/>
    <col min="5637" max="5637" width="0" style="64" hidden="1" customWidth="1"/>
    <col min="5638" max="5638" width="2.140625" style="64" customWidth="1"/>
    <col min="5639" max="5878" width="9.140625" style="64"/>
    <col min="5879" max="5879" width="2" style="64" customWidth="1"/>
    <col min="5880" max="5881" width="9.140625" style="64"/>
    <col min="5882" max="5882" width="7.28515625" style="64" customWidth="1"/>
    <col min="5883" max="5883" width="2.85546875" style="64" customWidth="1"/>
    <col min="5884" max="5884" width="9.140625" style="64"/>
    <col min="5885" max="5885" width="10.5703125" style="64" customWidth="1"/>
    <col min="5886" max="5886" width="7.85546875" style="64" customWidth="1"/>
    <col min="5887" max="5887" width="2.85546875" style="64" customWidth="1"/>
    <col min="5888" max="5888" width="21" style="64" customWidth="1"/>
    <col min="5889" max="5889" width="23.5703125" style="64" customWidth="1"/>
    <col min="5890" max="5890" width="12.140625" style="64" customWidth="1"/>
    <col min="5891" max="5891" width="3.28515625" style="64" customWidth="1"/>
    <col min="5892" max="5892" width="26.85546875" style="64" customWidth="1"/>
    <col min="5893" max="5893" width="0" style="64" hidden="1" customWidth="1"/>
    <col min="5894" max="5894" width="2.140625" style="64" customWidth="1"/>
    <col min="5895" max="6134" width="9.140625" style="64"/>
    <col min="6135" max="6135" width="2" style="64" customWidth="1"/>
    <col min="6136" max="6137" width="9.140625" style="64"/>
    <col min="6138" max="6138" width="7.28515625" style="64" customWidth="1"/>
    <col min="6139" max="6139" width="2.85546875" style="64" customWidth="1"/>
    <col min="6140" max="6140" width="9.140625" style="64"/>
    <col min="6141" max="6141" width="10.5703125" style="64" customWidth="1"/>
    <col min="6142" max="6142" width="7.85546875" style="64" customWidth="1"/>
    <col min="6143" max="6143" width="2.85546875" style="64" customWidth="1"/>
    <col min="6144" max="6144" width="21" style="64" customWidth="1"/>
    <col min="6145" max="6145" width="23.5703125" style="64" customWidth="1"/>
    <col min="6146" max="6146" width="12.140625" style="64" customWidth="1"/>
    <col min="6147" max="6147" width="3.28515625" style="64" customWidth="1"/>
    <col min="6148" max="6148" width="26.85546875" style="64" customWidth="1"/>
    <col min="6149" max="6149" width="0" style="64" hidden="1" customWidth="1"/>
    <col min="6150" max="6150" width="2.140625" style="64" customWidth="1"/>
    <col min="6151" max="6390" width="9.140625" style="64"/>
    <col min="6391" max="6391" width="2" style="64" customWidth="1"/>
    <col min="6392" max="6393" width="9.140625" style="64"/>
    <col min="6394" max="6394" width="7.28515625" style="64" customWidth="1"/>
    <col min="6395" max="6395" width="2.85546875" style="64" customWidth="1"/>
    <col min="6396" max="6396" width="9.140625" style="64"/>
    <col min="6397" max="6397" width="10.5703125" style="64" customWidth="1"/>
    <col min="6398" max="6398" width="7.85546875" style="64" customWidth="1"/>
    <col min="6399" max="6399" width="2.85546875" style="64" customWidth="1"/>
    <col min="6400" max="6400" width="21" style="64" customWidth="1"/>
    <col min="6401" max="6401" width="23.5703125" style="64" customWidth="1"/>
    <col min="6402" max="6402" width="12.140625" style="64" customWidth="1"/>
    <col min="6403" max="6403" width="3.28515625" style="64" customWidth="1"/>
    <col min="6404" max="6404" width="26.85546875" style="64" customWidth="1"/>
    <col min="6405" max="6405" width="0" style="64" hidden="1" customWidth="1"/>
    <col min="6406" max="6406" width="2.140625" style="64" customWidth="1"/>
    <col min="6407" max="6646" width="9.140625" style="64"/>
    <col min="6647" max="6647" width="2" style="64" customWidth="1"/>
    <col min="6648" max="6649" width="9.140625" style="64"/>
    <col min="6650" max="6650" width="7.28515625" style="64" customWidth="1"/>
    <col min="6651" max="6651" width="2.85546875" style="64" customWidth="1"/>
    <col min="6652" max="6652" width="9.140625" style="64"/>
    <col min="6653" max="6653" width="10.5703125" style="64" customWidth="1"/>
    <col min="6654" max="6654" width="7.85546875" style="64" customWidth="1"/>
    <col min="6655" max="6655" width="2.85546875" style="64" customWidth="1"/>
    <col min="6656" max="6656" width="21" style="64" customWidth="1"/>
    <col min="6657" max="6657" width="23.5703125" style="64" customWidth="1"/>
    <col min="6658" max="6658" width="12.140625" style="64" customWidth="1"/>
    <col min="6659" max="6659" width="3.28515625" style="64" customWidth="1"/>
    <col min="6660" max="6660" width="26.85546875" style="64" customWidth="1"/>
    <col min="6661" max="6661" width="0" style="64" hidden="1" customWidth="1"/>
    <col min="6662" max="6662" width="2.140625" style="64" customWidth="1"/>
    <col min="6663" max="6902" width="9.140625" style="64"/>
    <col min="6903" max="6903" width="2" style="64" customWidth="1"/>
    <col min="6904" max="6905" width="9.140625" style="64"/>
    <col min="6906" max="6906" width="7.28515625" style="64" customWidth="1"/>
    <col min="6907" max="6907" width="2.85546875" style="64" customWidth="1"/>
    <col min="6908" max="6908" width="9.140625" style="64"/>
    <col min="6909" max="6909" width="10.5703125" style="64" customWidth="1"/>
    <col min="6910" max="6910" width="7.85546875" style="64" customWidth="1"/>
    <col min="6911" max="6911" width="2.85546875" style="64" customWidth="1"/>
    <col min="6912" max="6912" width="21" style="64" customWidth="1"/>
    <col min="6913" max="6913" width="23.5703125" style="64" customWidth="1"/>
    <col min="6914" max="6914" width="12.140625" style="64" customWidth="1"/>
    <col min="6915" max="6915" width="3.28515625" style="64" customWidth="1"/>
    <col min="6916" max="6916" width="26.85546875" style="64" customWidth="1"/>
    <col min="6917" max="6917" width="0" style="64" hidden="1" customWidth="1"/>
    <col min="6918" max="6918" width="2.140625" style="64" customWidth="1"/>
    <col min="6919" max="7158" width="9.140625" style="64"/>
    <col min="7159" max="7159" width="2" style="64" customWidth="1"/>
    <col min="7160" max="7161" width="9.140625" style="64"/>
    <col min="7162" max="7162" width="7.28515625" style="64" customWidth="1"/>
    <col min="7163" max="7163" width="2.85546875" style="64" customWidth="1"/>
    <col min="7164" max="7164" width="9.140625" style="64"/>
    <col min="7165" max="7165" width="10.5703125" style="64" customWidth="1"/>
    <col min="7166" max="7166" width="7.85546875" style="64" customWidth="1"/>
    <col min="7167" max="7167" width="2.85546875" style="64" customWidth="1"/>
    <col min="7168" max="7168" width="21" style="64" customWidth="1"/>
    <col min="7169" max="7169" width="23.5703125" style="64" customWidth="1"/>
    <col min="7170" max="7170" width="12.140625" style="64" customWidth="1"/>
    <col min="7171" max="7171" width="3.28515625" style="64" customWidth="1"/>
    <col min="7172" max="7172" width="26.85546875" style="64" customWidth="1"/>
    <col min="7173" max="7173" width="0" style="64" hidden="1" customWidth="1"/>
    <col min="7174" max="7174" width="2.140625" style="64" customWidth="1"/>
    <col min="7175" max="7414" width="9.140625" style="64"/>
    <col min="7415" max="7415" width="2" style="64" customWidth="1"/>
    <col min="7416" max="7417" width="9.140625" style="64"/>
    <col min="7418" max="7418" width="7.28515625" style="64" customWidth="1"/>
    <col min="7419" max="7419" width="2.85546875" style="64" customWidth="1"/>
    <col min="7420" max="7420" width="9.140625" style="64"/>
    <col min="7421" max="7421" width="10.5703125" style="64" customWidth="1"/>
    <col min="7422" max="7422" width="7.85546875" style="64" customWidth="1"/>
    <col min="7423" max="7423" width="2.85546875" style="64" customWidth="1"/>
    <col min="7424" max="7424" width="21" style="64" customWidth="1"/>
    <col min="7425" max="7425" width="23.5703125" style="64" customWidth="1"/>
    <col min="7426" max="7426" width="12.140625" style="64" customWidth="1"/>
    <col min="7427" max="7427" width="3.28515625" style="64" customWidth="1"/>
    <col min="7428" max="7428" width="26.85546875" style="64" customWidth="1"/>
    <col min="7429" max="7429" width="0" style="64" hidden="1" customWidth="1"/>
    <col min="7430" max="7430" width="2.140625" style="64" customWidth="1"/>
    <col min="7431" max="7670" width="9.140625" style="64"/>
    <col min="7671" max="7671" width="2" style="64" customWidth="1"/>
    <col min="7672" max="7673" width="9.140625" style="64"/>
    <col min="7674" max="7674" width="7.28515625" style="64" customWidth="1"/>
    <col min="7675" max="7675" width="2.85546875" style="64" customWidth="1"/>
    <col min="7676" max="7676" width="9.140625" style="64"/>
    <col min="7677" max="7677" width="10.5703125" style="64" customWidth="1"/>
    <col min="7678" max="7678" width="7.85546875" style="64" customWidth="1"/>
    <col min="7679" max="7679" width="2.85546875" style="64" customWidth="1"/>
    <col min="7680" max="7680" width="21" style="64" customWidth="1"/>
    <col min="7681" max="7681" width="23.5703125" style="64" customWidth="1"/>
    <col min="7682" max="7682" width="12.140625" style="64" customWidth="1"/>
    <col min="7683" max="7683" width="3.28515625" style="64" customWidth="1"/>
    <col min="7684" max="7684" width="26.85546875" style="64" customWidth="1"/>
    <col min="7685" max="7685" width="0" style="64" hidden="1" customWidth="1"/>
    <col min="7686" max="7686" width="2.140625" style="64" customWidth="1"/>
    <col min="7687" max="7926" width="9.140625" style="64"/>
    <col min="7927" max="7927" width="2" style="64" customWidth="1"/>
    <col min="7928" max="7929" width="9.140625" style="64"/>
    <col min="7930" max="7930" width="7.28515625" style="64" customWidth="1"/>
    <col min="7931" max="7931" width="2.85546875" style="64" customWidth="1"/>
    <col min="7932" max="7932" width="9.140625" style="64"/>
    <col min="7933" max="7933" width="10.5703125" style="64" customWidth="1"/>
    <col min="7934" max="7934" width="7.85546875" style="64" customWidth="1"/>
    <col min="7935" max="7935" width="2.85546875" style="64" customWidth="1"/>
    <col min="7936" max="7936" width="21" style="64" customWidth="1"/>
    <col min="7937" max="7937" width="23.5703125" style="64" customWidth="1"/>
    <col min="7938" max="7938" width="12.140625" style="64" customWidth="1"/>
    <col min="7939" max="7939" width="3.28515625" style="64" customWidth="1"/>
    <col min="7940" max="7940" width="26.85546875" style="64" customWidth="1"/>
    <col min="7941" max="7941" width="0" style="64" hidden="1" customWidth="1"/>
    <col min="7942" max="7942" width="2.140625" style="64" customWidth="1"/>
    <col min="7943" max="8182" width="9.140625" style="64"/>
    <col min="8183" max="8183" width="2" style="64" customWidth="1"/>
    <col min="8184" max="8185" width="9.140625" style="64"/>
    <col min="8186" max="8186" width="7.28515625" style="64" customWidth="1"/>
    <col min="8187" max="8187" width="2.85546875" style="64" customWidth="1"/>
    <col min="8188" max="8188" width="9.140625" style="64"/>
    <col min="8189" max="8189" width="10.5703125" style="64" customWidth="1"/>
    <col min="8190" max="8190" width="7.85546875" style="64" customWidth="1"/>
    <col min="8191" max="8191" width="2.85546875" style="64" customWidth="1"/>
    <col min="8192" max="8192" width="21" style="64" customWidth="1"/>
    <col min="8193" max="8193" width="23.5703125" style="64" customWidth="1"/>
    <col min="8194" max="8194" width="12.140625" style="64" customWidth="1"/>
    <col min="8195" max="8195" width="3.28515625" style="64" customWidth="1"/>
    <col min="8196" max="8196" width="26.85546875" style="64" customWidth="1"/>
    <col min="8197" max="8197" width="0" style="64" hidden="1" customWidth="1"/>
    <col min="8198" max="8198" width="2.140625" style="64" customWidth="1"/>
    <col min="8199" max="8438" width="9.140625" style="64"/>
    <col min="8439" max="8439" width="2" style="64" customWidth="1"/>
    <col min="8440" max="8441" width="9.140625" style="64"/>
    <col min="8442" max="8442" width="7.28515625" style="64" customWidth="1"/>
    <col min="8443" max="8443" width="2.85546875" style="64" customWidth="1"/>
    <col min="8444" max="8444" width="9.140625" style="64"/>
    <col min="8445" max="8445" width="10.5703125" style="64" customWidth="1"/>
    <col min="8446" max="8446" width="7.85546875" style="64" customWidth="1"/>
    <col min="8447" max="8447" width="2.85546875" style="64" customWidth="1"/>
    <col min="8448" max="8448" width="21" style="64" customWidth="1"/>
    <col min="8449" max="8449" width="23.5703125" style="64" customWidth="1"/>
    <col min="8450" max="8450" width="12.140625" style="64" customWidth="1"/>
    <col min="8451" max="8451" width="3.28515625" style="64" customWidth="1"/>
    <col min="8452" max="8452" width="26.85546875" style="64" customWidth="1"/>
    <col min="8453" max="8453" width="0" style="64" hidden="1" customWidth="1"/>
    <col min="8454" max="8454" width="2.140625" style="64" customWidth="1"/>
    <col min="8455" max="8694" width="9.140625" style="64"/>
    <col min="8695" max="8695" width="2" style="64" customWidth="1"/>
    <col min="8696" max="8697" width="9.140625" style="64"/>
    <col min="8698" max="8698" width="7.28515625" style="64" customWidth="1"/>
    <col min="8699" max="8699" width="2.85546875" style="64" customWidth="1"/>
    <col min="8700" max="8700" width="9.140625" style="64"/>
    <col min="8701" max="8701" width="10.5703125" style="64" customWidth="1"/>
    <col min="8702" max="8702" width="7.85546875" style="64" customWidth="1"/>
    <col min="8703" max="8703" width="2.85546875" style="64" customWidth="1"/>
    <col min="8704" max="8704" width="21" style="64" customWidth="1"/>
    <col min="8705" max="8705" width="23.5703125" style="64" customWidth="1"/>
    <col min="8706" max="8706" width="12.140625" style="64" customWidth="1"/>
    <col min="8707" max="8707" width="3.28515625" style="64" customWidth="1"/>
    <col min="8708" max="8708" width="26.85546875" style="64" customWidth="1"/>
    <col min="8709" max="8709" width="0" style="64" hidden="1" customWidth="1"/>
    <col min="8710" max="8710" width="2.140625" style="64" customWidth="1"/>
    <col min="8711" max="8950" width="9.140625" style="64"/>
    <col min="8951" max="8951" width="2" style="64" customWidth="1"/>
    <col min="8952" max="8953" width="9.140625" style="64"/>
    <col min="8954" max="8954" width="7.28515625" style="64" customWidth="1"/>
    <col min="8955" max="8955" width="2.85546875" style="64" customWidth="1"/>
    <col min="8956" max="8956" width="9.140625" style="64"/>
    <col min="8957" max="8957" width="10.5703125" style="64" customWidth="1"/>
    <col min="8958" max="8958" width="7.85546875" style="64" customWidth="1"/>
    <col min="8959" max="8959" width="2.85546875" style="64" customWidth="1"/>
    <col min="8960" max="8960" width="21" style="64" customWidth="1"/>
    <col min="8961" max="8961" width="23.5703125" style="64" customWidth="1"/>
    <col min="8962" max="8962" width="12.140625" style="64" customWidth="1"/>
    <col min="8963" max="8963" width="3.28515625" style="64" customWidth="1"/>
    <col min="8964" max="8964" width="26.85546875" style="64" customWidth="1"/>
    <col min="8965" max="8965" width="0" style="64" hidden="1" customWidth="1"/>
    <col min="8966" max="8966" width="2.140625" style="64" customWidth="1"/>
    <col min="8967" max="9206" width="9.140625" style="64"/>
    <col min="9207" max="9207" width="2" style="64" customWidth="1"/>
    <col min="9208" max="9209" width="9.140625" style="64"/>
    <col min="9210" max="9210" width="7.28515625" style="64" customWidth="1"/>
    <col min="9211" max="9211" width="2.85546875" style="64" customWidth="1"/>
    <col min="9212" max="9212" width="9.140625" style="64"/>
    <col min="9213" max="9213" width="10.5703125" style="64" customWidth="1"/>
    <col min="9214" max="9214" width="7.85546875" style="64" customWidth="1"/>
    <col min="9215" max="9215" width="2.85546875" style="64" customWidth="1"/>
    <col min="9216" max="9216" width="21" style="64" customWidth="1"/>
    <col min="9217" max="9217" width="23.5703125" style="64" customWidth="1"/>
    <col min="9218" max="9218" width="12.140625" style="64" customWidth="1"/>
    <col min="9219" max="9219" width="3.28515625" style="64" customWidth="1"/>
    <col min="9220" max="9220" width="26.85546875" style="64" customWidth="1"/>
    <col min="9221" max="9221" width="0" style="64" hidden="1" customWidth="1"/>
    <col min="9222" max="9222" width="2.140625" style="64" customWidth="1"/>
    <col min="9223" max="9462" width="9.140625" style="64"/>
    <col min="9463" max="9463" width="2" style="64" customWidth="1"/>
    <col min="9464" max="9465" width="9.140625" style="64"/>
    <col min="9466" max="9466" width="7.28515625" style="64" customWidth="1"/>
    <col min="9467" max="9467" width="2.85546875" style="64" customWidth="1"/>
    <col min="9468" max="9468" width="9.140625" style="64"/>
    <col min="9469" max="9469" width="10.5703125" style="64" customWidth="1"/>
    <col min="9470" max="9470" width="7.85546875" style="64" customWidth="1"/>
    <col min="9471" max="9471" width="2.85546875" style="64" customWidth="1"/>
    <col min="9472" max="9472" width="21" style="64" customWidth="1"/>
    <col min="9473" max="9473" width="23.5703125" style="64" customWidth="1"/>
    <col min="9474" max="9474" width="12.140625" style="64" customWidth="1"/>
    <col min="9475" max="9475" width="3.28515625" style="64" customWidth="1"/>
    <col min="9476" max="9476" width="26.85546875" style="64" customWidth="1"/>
    <col min="9477" max="9477" width="0" style="64" hidden="1" customWidth="1"/>
    <col min="9478" max="9478" width="2.140625" style="64" customWidth="1"/>
    <col min="9479" max="9718" width="9.140625" style="64"/>
    <col min="9719" max="9719" width="2" style="64" customWidth="1"/>
    <col min="9720" max="9721" width="9.140625" style="64"/>
    <col min="9722" max="9722" width="7.28515625" style="64" customWidth="1"/>
    <col min="9723" max="9723" width="2.85546875" style="64" customWidth="1"/>
    <col min="9724" max="9724" width="9.140625" style="64"/>
    <col min="9725" max="9725" width="10.5703125" style="64" customWidth="1"/>
    <col min="9726" max="9726" width="7.85546875" style="64" customWidth="1"/>
    <col min="9727" max="9727" width="2.85546875" style="64" customWidth="1"/>
    <col min="9728" max="9728" width="21" style="64" customWidth="1"/>
    <col min="9729" max="9729" width="23.5703125" style="64" customWidth="1"/>
    <col min="9730" max="9730" width="12.140625" style="64" customWidth="1"/>
    <col min="9731" max="9731" width="3.28515625" style="64" customWidth="1"/>
    <col min="9732" max="9732" width="26.85546875" style="64" customWidth="1"/>
    <col min="9733" max="9733" width="0" style="64" hidden="1" customWidth="1"/>
    <col min="9734" max="9734" width="2.140625" style="64" customWidth="1"/>
    <col min="9735" max="9974" width="9.140625" style="64"/>
    <col min="9975" max="9975" width="2" style="64" customWidth="1"/>
    <col min="9976" max="9977" width="9.140625" style="64"/>
    <col min="9978" max="9978" width="7.28515625" style="64" customWidth="1"/>
    <col min="9979" max="9979" width="2.85546875" style="64" customWidth="1"/>
    <col min="9980" max="9980" width="9.140625" style="64"/>
    <col min="9981" max="9981" width="10.5703125" style="64" customWidth="1"/>
    <col min="9982" max="9982" width="7.85546875" style="64" customWidth="1"/>
    <col min="9983" max="9983" width="2.85546875" style="64" customWidth="1"/>
    <col min="9984" max="9984" width="21" style="64" customWidth="1"/>
    <col min="9985" max="9985" width="23.5703125" style="64" customWidth="1"/>
    <col min="9986" max="9986" width="12.140625" style="64" customWidth="1"/>
    <col min="9987" max="9987" width="3.28515625" style="64" customWidth="1"/>
    <col min="9988" max="9988" width="26.85546875" style="64" customWidth="1"/>
    <col min="9989" max="9989" width="0" style="64" hidden="1" customWidth="1"/>
    <col min="9990" max="9990" width="2.140625" style="64" customWidth="1"/>
    <col min="9991" max="10230" width="9.140625" style="64"/>
    <col min="10231" max="10231" width="2" style="64" customWidth="1"/>
    <col min="10232" max="10233" width="9.140625" style="64"/>
    <col min="10234" max="10234" width="7.28515625" style="64" customWidth="1"/>
    <col min="10235" max="10235" width="2.85546875" style="64" customWidth="1"/>
    <col min="10236" max="10236" width="9.140625" style="64"/>
    <col min="10237" max="10237" width="10.5703125" style="64" customWidth="1"/>
    <col min="10238" max="10238" width="7.85546875" style="64" customWidth="1"/>
    <col min="10239" max="10239" width="2.85546875" style="64" customWidth="1"/>
    <col min="10240" max="10240" width="21" style="64" customWidth="1"/>
    <col min="10241" max="10241" width="23.5703125" style="64" customWidth="1"/>
    <col min="10242" max="10242" width="12.140625" style="64" customWidth="1"/>
    <col min="10243" max="10243" width="3.28515625" style="64" customWidth="1"/>
    <col min="10244" max="10244" width="26.85546875" style="64" customWidth="1"/>
    <col min="10245" max="10245" width="0" style="64" hidden="1" customWidth="1"/>
    <col min="10246" max="10246" width="2.140625" style="64" customWidth="1"/>
    <col min="10247" max="10486" width="9.140625" style="64"/>
    <col min="10487" max="10487" width="2" style="64" customWidth="1"/>
    <col min="10488" max="10489" width="9.140625" style="64"/>
    <col min="10490" max="10490" width="7.28515625" style="64" customWidth="1"/>
    <col min="10491" max="10491" width="2.85546875" style="64" customWidth="1"/>
    <col min="10492" max="10492" width="9.140625" style="64"/>
    <col min="10493" max="10493" width="10.5703125" style="64" customWidth="1"/>
    <col min="10494" max="10494" width="7.85546875" style="64" customWidth="1"/>
    <col min="10495" max="10495" width="2.85546875" style="64" customWidth="1"/>
    <col min="10496" max="10496" width="21" style="64" customWidth="1"/>
    <col min="10497" max="10497" width="23.5703125" style="64" customWidth="1"/>
    <col min="10498" max="10498" width="12.140625" style="64" customWidth="1"/>
    <col min="10499" max="10499" width="3.28515625" style="64" customWidth="1"/>
    <col min="10500" max="10500" width="26.85546875" style="64" customWidth="1"/>
    <col min="10501" max="10501" width="0" style="64" hidden="1" customWidth="1"/>
    <col min="10502" max="10502" width="2.140625" style="64" customWidth="1"/>
    <col min="10503" max="10742" width="9.140625" style="64"/>
    <col min="10743" max="10743" width="2" style="64" customWidth="1"/>
    <col min="10744" max="10745" width="9.140625" style="64"/>
    <col min="10746" max="10746" width="7.28515625" style="64" customWidth="1"/>
    <col min="10747" max="10747" width="2.85546875" style="64" customWidth="1"/>
    <col min="10748" max="10748" width="9.140625" style="64"/>
    <col min="10749" max="10749" width="10.5703125" style="64" customWidth="1"/>
    <col min="10750" max="10750" width="7.85546875" style="64" customWidth="1"/>
    <col min="10751" max="10751" width="2.85546875" style="64" customWidth="1"/>
    <col min="10752" max="10752" width="21" style="64" customWidth="1"/>
    <col min="10753" max="10753" width="23.5703125" style="64" customWidth="1"/>
    <col min="10754" max="10754" width="12.140625" style="64" customWidth="1"/>
    <col min="10755" max="10755" width="3.28515625" style="64" customWidth="1"/>
    <col min="10756" max="10756" width="26.85546875" style="64" customWidth="1"/>
    <col min="10757" max="10757" width="0" style="64" hidden="1" customWidth="1"/>
    <col min="10758" max="10758" width="2.140625" style="64" customWidth="1"/>
    <col min="10759" max="10998" width="9.140625" style="64"/>
    <col min="10999" max="10999" width="2" style="64" customWidth="1"/>
    <col min="11000" max="11001" width="9.140625" style="64"/>
    <col min="11002" max="11002" width="7.28515625" style="64" customWidth="1"/>
    <col min="11003" max="11003" width="2.85546875" style="64" customWidth="1"/>
    <col min="11004" max="11004" width="9.140625" style="64"/>
    <col min="11005" max="11005" width="10.5703125" style="64" customWidth="1"/>
    <col min="11006" max="11006" width="7.85546875" style="64" customWidth="1"/>
    <col min="11007" max="11007" width="2.85546875" style="64" customWidth="1"/>
    <col min="11008" max="11008" width="21" style="64" customWidth="1"/>
    <col min="11009" max="11009" width="23.5703125" style="64" customWidth="1"/>
    <col min="11010" max="11010" width="12.140625" style="64" customWidth="1"/>
    <col min="11011" max="11011" width="3.28515625" style="64" customWidth="1"/>
    <col min="11012" max="11012" width="26.85546875" style="64" customWidth="1"/>
    <col min="11013" max="11013" width="0" style="64" hidden="1" customWidth="1"/>
    <col min="11014" max="11014" width="2.140625" style="64" customWidth="1"/>
    <col min="11015" max="11254" width="9.140625" style="64"/>
    <col min="11255" max="11255" width="2" style="64" customWidth="1"/>
    <col min="11256" max="11257" width="9.140625" style="64"/>
    <col min="11258" max="11258" width="7.28515625" style="64" customWidth="1"/>
    <col min="11259" max="11259" width="2.85546875" style="64" customWidth="1"/>
    <col min="11260" max="11260" width="9.140625" style="64"/>
    <col min="11261" max="11261" width="10.5703125" style="64" customWidth="1"/>
    <col min="11262" max="11262" width="7.85546875" style="64" customWidth="1"/>
    <col min="11263" max="11263" width="2.85546875" style="64" customWidth="1"/>
    <col min="11264" max="11264" width="21" style="64" customWidth="1"/>
    <col min="11265" max="11265" width="23.5703125" style="64" customWidth="1"/>
    <col min="11266" max="11266" width="12.140625" style="64" customWidth="1"/>
    <col min="11267" max="11267" width="3.28515625" style="64" customWidth="1"/>
    <col min="11268" max="11268" width="26.85546875" style="64" customWidth="1"/>
    <col min="11269" max="11269" width="0" style="64" hidden="1" customWidth="1"/>
    <col min="11270" max="11270" width="2.140625" style="64" customWidth="1"/>
    <col min="11271" max="11510" width="9.140625" style="64"/>
    <col min="11511" max="11511" width="2" style="64" customWidth="1"/>
    <col min="11512" max="11513" width="9.140625" style="64"/>
    <col min="11514" max="11514" width="7.28515625" style="64" customWidth="1"/>
    <col min="11515" max="11515" width="2.85546875" style="64" customWidth="1"/>
    <col min="11516" max="11516" width="9.140625" style="64"/>
    <col min="11517" max="11517" width="10.5703125" style="64" customWidth="1"/>
    <col min="11518" max="11518" width="7.85546875" style="64" customWidth="1"/>
    <col min="11519" max="11519" width="2.85546875" style="64" customWidth="1"/>
    <col min="11520" max="11520" width="21" style="64" customWidth="1"/>
    <col min="11521" max="11521" width="23.5703125" style="64" customWidth="1"/>
    <col min="11522" max="11522" width="12.140625" style="64" customWidth="1"/>
    <col min="11523" max="11523" width="3.28515625" style="64" customWidth="1"/>
    <col min="11524" max="11524" width="26.85546875" style="64" customWidth="1"/>
    <col min="11525" max="11525" width="0" style="64" hidden="1" customWidth="1"/>
    <col min="11526" max="11526" width="2.140625" style="64" customWidth="1"/>
    <col min="11527" max="11766" width="9.140625" style="64"/>
    <col min="11767" max="11767" width="2" style="64" customWidth="1"/>
    <col min="11768" max="11769" width="9.140625" style="64"/>
    <col min="11770" max="11770" width="7.28515625" style="64" customWidth="1"/>
    <col min="11771" max="11771" width="2.85546875" style="64" customWidth="1"/>
    <col min="11772" max="11772" width="9.140625" style="64"/>
    <col min="11773" max="11773" width="10.5703125" style="64" customWidth="1"/>
    <col min="11774" max="11774" width="7.85546875" style="64" customWidth="1"/>
    <col min="11775" max="11775" width="2.85546875" style="64" customWidth="1"/>
    <col min="11776" max="11776" width="21" style="64" customWidth="1"/>
    <col min="11777" max="11777" width="23.5703125" style="64" customWidth="1"/>
    <col min="11778" max="11778" width="12.140625" style="64" customWidth="1"/>
    <col min="11779" max="11779" width="3.28515625" style="64" customWidth="1"/>
    <col min="11780" max="11780" width="26.85546875" style="64" customWidth="1"/>
    <col min="11781" max="11781" width="0" style="64" hidden="1" customWidth="1"/>
    <col min="11782" max="11782" width="2.140625" style="64" customWidth="1"/>
    <col min="11783" max="12022" width="9.140625" style="64"/>
    <col min="12023" max="12023" width="2" style="64" customWidth="1"/>
    <col min="12024" max="12025" width="9.140625" style="64"/>
    <col min="12026" max="12026" width="7.28515625" style="64" customWidth="1"/>
    <col min="12027" max="12027" width="2.85546875" style="64" customWidth="1"/>
    <col min="12028" max="12028" width="9.140625" style="64"/>
    <col min="12029" max="12029" width="10.5703125" style="64" customWidth="1"/>
    <col min="12030" max="12030" width="7.85546875" style="64" customWidth="1"/>
    <col min="12031" max="12031" width="2.85546875" style="64" customWidth="1"/>
    <col min="12032" max="12032" width="21" style="64" customWidth="1"/>
    <col min="12033" max="12033" width="23.5703125" style="64" customWidth="1"/>
    <col min="12034" max="12034" width="12.140625" style="64" customWidth="1"/>
    <col min="12035" max="12035" width="3.28515625" style="64" customWidth="1"/>
    <col min="12036" max="12036" width="26.85546875" style="64" customWidth="1"/>
    <col min="12037" max="12037" width="0" style="64" hidden="1" customWidth="1"/>
    <col min="12038" max="12038" width="2.140625" style="64" customWidth="1"/>
    <col min="12039" max="12278" width="9.140625" style="64"/>
    <col min="12279" max="12279" width="2" style="64" customWidth="1"/>
    <col min="12280" max="12281" width="9.140625" style="64"/>
    <col min="12282" max="12282" width="7.28515625" style="64" customWidth="1"/>
    <col min="12283" max="12283" width="2.85546875" style="64" customWidth="1"/>
    <col min="12284" max="12284" width="9.140625" style="64"/>
    <col min="12285" max="12285" width="10.5703125" style="64" customWidth="1"/>
    <col min="12286" max="12286" width="7.85546875" style="64" customWidth="1"/>
    <col min="12287" max="12287" width="2.85546875" style="64" customWidth="1"/>
    <col min="12288" max="12288" width="21" style="64" customWidth="1"/>
    <col min="12289" max="12289" width="23.5703125" style="64" customWidth="1"/>
    <col min="12290" max="12290" width="12.140625" style="64" customWidth="1"/>
    <col min="12291" max="12291" width="3.28515625" style="64" customWidth="1"/>
    <col min="12292" max="12292" width="26.85546875" style="64" customWidth="1"/>
    <col min="12293" max="12293" width="0" style="64" hidden="1" customWidth="1"/>
    <col min="12294" max="12294" width="2.140625" style="64" customWidth="1"/>
    <col min="12295" max="12534" width="9.140625" style="64"/>
    <col min="12535" max="12535" width="2" style="64" customWidth="1"/>
    <col min="12536" max="12537" width="9.140625" style="64"/>
    <col min="12538" max="12538" width="7.28515625" style="64" customWidth="1"/>
    <col min="12539" max="12539" width="2.85546875" style="64" customWidth="1"/>
    <col min="12540" max="12540" width="9.140625" style="64"/>
    <col min="12541" max="12541" width="10.5703125" style="64" customWidth="1"/>
    <col min="12542" max="12542" width="7.85546875" style="64" customWidth="1"/>
    <col min="12543" max="12543" width="2.85546875" style="64" customWidth="1"/>
    <col min="12544" max="12544" width="21" style="64" customWidth="1"/>
    <col min="12545" max="12545" width="23.5703125" style="64" customWidth="1"/>
    <col min="12546" max="12546" width="12.140625" style="64" customWidth="1"/>
    <col min="12547" max="12547" width="3.28515625" style="64" customWidth="1"/>
    <col min="12548" max="12548" width="26.85546875" style="64" customWidth="1"/>
    <col min="12549" max="12549" width="0" style="64" hidden="1" customWidth="1"/>
    <col min="12550" max="12550" width="2.140625" style="64" customWidth="1"/>
    <col min="12551" max="12790" width="9.140625" style="64"/>
    <col min="12791" max="12791" width="2" style="64" customWidth="1"/>
    <col min="12792" max="12793" width="9.140625" style="64"/>
    <col min="12794" max="12794" width="7.28515625" style="64" customWidth="1"/>
    <col min="12795" max="12795" width="2.85546875" style="64" customWidth="1"/>
    <col min="12796" max="12796" width="9.140625" style="64"/>
    <col min="12797" max="12797" width="10.5703125" style="64" customWidth="1"/>
    <col min="12798" max="12798" width="7.85546875" style="64" customWidth="1"/>
    <col min="12799" max="12799" width="2.85546875" style="64" customWidth="1"/>
    <col min="12800" max="12800" width="21" style="64" customWidth="1"/>
    <col min="12801" max="12801" width="23.5703125" style="64" customWidth="1"/>
    <col min="12802" max="12802" width="12.140625" style="64" customWidth="1"/>
    <col min="12803" max="12803" width="3.28515625" style="64" customWidth="1"/>
    <col min="12804" max="12804" width="26.85546875" style="64" customWidth="1"/>
    <col min="12805" max="12805" width="0" style="64" hidden="1" customWidth="1"/>
    <col min="12806" max="12806" width="2.140625" style="64" customWidth="1"/>
    <col min="12807" max="13046" width="9.140625" style="64"/>
    <col min="13047" max="13047" width="2" style="64" customWidth="1"/>
    <col min="13048" max="13049" width="9.140625" style="64"/>
    <col min="13050" max="13050" width="7.28515625" style="64" customWidth="1"/>
    <col min="13051" max="13051" width="2.85546875" style="64" customWidth="1"/>
    <col min="13052" max="13052" width="9.140625" style="64"/>
    <col min="13053" max="13053" width="10.5703125" style="64" customWidth="1"/>
    <col min="13054" max="13054" width="7.85546875" style="64" customWidth="1"/>
    <col min="13055" max="13055" width="2.85546875" style="64" customWidth="1"/>
    <col min="13056" max="13056" width="21" style="64" customWidth="1"/>
    <col min="13057" max="13057" width="23.5703125" style="64" customWidth="1"/>
    <col min="13058" max="13058" width="12.140625" style="64" customWidth="1"/>
    <col min="13059" max="13059" width="3.28515625" style="64" customWidth="1"/>
    <col min="13060" max="13060" width="26.85546875" style="64" customWidth="1"/>
    <col min="13061" max="13061" width="0" style="64" hidden="1" customWidth="1"/>
    <col min="13062" max="13062" width="2.140625" style="64" customWidth="1"/>
    <col min="13063" max="13302" width="9.140625" style="64"/>
    <col min="13303" max="13303" width="2" style="64" customWidth="1"/>
    <col min="13304" max="13305" width="9.140625" style="64"/>
    <col min="13306" max="13306" width="7.28515625" style="64" customWidth="1"/>
    <col min="13307" max="13307" width="2.85546875" style="64" customWidth="1"/>
    <col min="13308" max="13308" width="9.140625" style="64"/>
    <col min="13309" max="13309" width="10.5703125" style="64" customWidth="1"/>
    <col min="13310" max="13310" width="7.85546875" style="64" customWidth="1"/>
    <col min="13311" max="13311" width="2.85546875" style="64" customWidth="1"/>
    <col min="13312" max="13312" width="21" style="64" customWidth="1"/>
    <col min="13313" max="13313" width="23.5703125" style="64" customWidth="1"/>
    <col min="13314" max="13314" width="12.140625" style="64" customWidth="1"/>
    <col min="13315" max="13315" width="3.28515625" style="64" customWidth="1"/>
    <col min="13316" max="13316" width="26.85546875" style="64" customWidth="1"/>
    <col min="13317" max="13317" width="0" style="64" hidden="1" customWidth="1"/>
    <col min="13318" max="13318" width="2.140625" style="64" customWidth="1"/>
    <col min="13319" max="13558" width="9.140625" style="64"/>
    <col min="13559" max="13559" width="2" style="64" customWidth="1"/>
    <col min="13560" max="13561" width="9.140625" style="64"/>
    <col min="13562" max="13562" width="7.28515625" style="64" customWidth="1"/>
    <col min="13563" max="13563" width="2.85546875" style="64" customWidth="1"/>
    <col min="13564" max="13564" width="9.140625" style="64"/>
    <col min="13565" max="13565" width="10.5703125" style="64" customWidth="1"/>
    <col min="13566" max="13566" width="7.85546875" style="64" customWidth="1"/>
    <col min="13567" max="13567" width="2.85546875" style="64" customWidth="1"/>
    <col min="13568" max="13568" width="21" style="64" customWidth="1"/>
    <col min="13569" max="13569" width="23.5703125" style="64" customWidth="1"/>
    <col min="13570" max="13570" width="12.140625" style="64" customWidth="1"/>
    <col min="13571" max="13571" width="3.28515625" style="64" customWidth="1"/>
    <col min="13572" max="13572" width="26.85546875" style="64" customWidth="1"/>
    <col min="13573" max="13573" width="0" style="64" hidden="1" customWidth="1"/>
    <col min="13574" max="13574" width="2.140625" style="64" customWidth="1"/>
    <col min="13575" max="13814" width="9.140625" style="64"/>
    <col min="13815" max="13815" width="2" style="64" customWidth="1"/>
    <col min="13816" max="13817" width="9.140625" style="64"/>
    <col min="13818" max="13818" width="7.28515625" style="64" customWidth="1"/>
    <col min="13819" max="13819" width="2.85546875" style="64" customWidth="1"/>
    <col min="13820" max="13820" width="9.140625" style="64"/>
    <col min="13821" max="13821" width="10.5703125" style="64" customWidth="1"/>
    <col min="13822" max="13822" width="7.85546875" style="64" customWidth="1"/>
    <col min="13823" max="13823" width="2.85546875" style="64" customWidth="1"/>
    <col min="13824" max="13824" width="21" style="64" customWidth="1"/>
    <col min="13825" max="13825" width="23.5703125" style="64" customWidth="1"/>
    <col min="13826" max="13826" width="12.140625" style="64" customWidth="1"/>
    <col min="13827" max="13827" width="3.28515625" style="64" customWidth="1"/>
    <col min="13828" max="13828" width="26.85546875" style="64" customWidth="1"/>
    <col min="13829" max="13829" width="0" style="64" hidden="1" customWidth="1"/>
    <col min="13830" max="13830" width="2.140625" style="64" customWidth="1"/>
    <col min="13831" max="14070" width="9.140625" style="64"/>
    <col min="14071" max="14071" width="2" style="64" customWidth="1"/>
    <col min="14072" max="14073" width="9.140625" style="64"/>
    <col min="14074" max="14074" width="7.28515625" style="64" customWidth="1"/>
    <col min="14075" max="14075" width="2.85546875" style="64" customWidth="1"/>
    <col min="14076" max="14076" width="9.140625" style="64"/>
    <col min="14077" max="14077" width="10.5703125" style="64" customWidth="1"/>
    <col min="14078" max="14078" width="7.85546875" style="64" customWidth="1"/>
    <col min="14079" max="14079" width="2.85546875" style="64" customWidth="1"/>
    <col min="14080" max="14080" width="21" style="64" customWidth="1"/>
    <col min="14081" max="14081" width="23.5703125" style="64" customWidth="1"/>
    <col min="14082" max="14082" width="12.140625" style="64" customWidth="1"/>
    <col min="14083" max="14083" width="3.28515625" style="64" customWidth="1"/>
    <col min="14084" max="14084" width="26.85546875" style="64" customWidth="1"/>
    <col min="14085" max="14085" width="0" style="64" hidden="1" customWidth="1"/>
    <col min="14086" max="14086" width="2.140625" style="64" customWidth="1"/>
    <col min="14087" max="14326" width="9.140625" style="64"/>
    <col min="14327" max="14327" width="2" style="64" customWidth="1"/>
    <col min="14328" max="14329" width="9.140625" style="64"/>
    <col min="14330" max="14330" width="7.28515625" style="64" customWidth="1"/>
    <col min="14331" max="14331" width="2.85546875" style="64" customWidth="1"/>
    <col min="14332" max="14332" width="9.140625" style="64"/>
    <col min="14333" max="14333" width="10.5703125" style="64" customWidth="1"/>
    <col min="14334" max="14334" width="7.85546875" style="64" customWidth="1"/>
    <col min="14335" max="14335" width="2.85546875" style="64" customWidth="1"/>
    <col min="14336" max="14336" width="21" style="64" customWidth="1"/>
    <col min="14337" max="14337" width="23.5703125" style="64" customWidth="1"/>
    <col min="14338" max="14338" width="12.140625" style="64" customWidth="1"/>
    <col min="14339" max="14339" width="3.28515625" style="64" customWidth="1"/>
    <col min="14340" max="14340" width="26.85546875" style="64" customWidth="1"/>
    <col min="14341" max="14341" width="0" style="64" hidden="1" customWidth="1"/>
    <col min="14342" max="14342" width="2.140625" style="64" customWidth="1"/>
    <col min="14343" max="14582" width="9.140625" style="64"/>
    <col min="14583" max="14583" width="2" style="64" customWidth="1"/>
    <col min="14584" max="14585" width="9.140625" style="64"/>
    <col min="14586" max="14586" width="7.28515625" style="64" customWidth="1"/>
    <col min="14587" max="14587" width="2.85546875" style="64" customWidth="1"/>
    <col min="14588" max="14588" width="9.140625" style="64"/>
    <col min="14589" max="14589" width="10.5703125" style="64" customWidth="1"/>
    <col min="14590" max="14590" width="7.85546875" style="64" customWidth="1"/>
    <col min="14591" max="14591" width="2.85546875" style="64" customWidth="1"/>
    <col min="14592" max="14592" width="21" style="64" customWidth="1"/>
    <col min="14593" max="14593" width="23.5703125" style="64" customWidth="1"/>
    <col min="14594" max="14594" width="12.140625" style="64" customWidth="1"/>
    <col min="14595" max="14595" width="3.28515625" style="64" customWidth="1"/>
    <col min="14596" max="14596" width="26.85546875" style="64" customWidth="1"/>
    <col min="14597" max="14597" width="0" style="64" hidden="1" customWidth="1"/>
    <col min="14598" max="14598" width="2.140625" style="64" customWidth="1"/>
    <col min="14599" max="14838" width="9.140625" style="64"/>
    <col min="14839" max="14839" width="2" style="64" customWidth="1"/>
    <col min="14840" max="14841" width="9.140625" style="64"/>
    <col min="14842" max="14842" width="7.28515625" style="64" customWidth="1"/>
    <col min="14843" max="14843" width="2.85546875" style="64" customWidth="1"/>
    <col min="14844" max="14844" width="9.140625" style="64"/>
    <col min="14845" max="14845" width="10.5703125" style="64" customWidth="1"/>
    <col min="14846" max="14846" width="7.85546875" style="64" customWidth="1"/>
    <col min="14847" max="14847" width="2.85546875" style="64" customWidth="1"/>
    <col min="14848" max="14848" width="21" style="64" customWidth="1"/>
    <col min="14849" max="14849" width="23.5703125" style="64" customWidth="1"/>
    <col min="14850" max="14850" width="12.140625" style="64" customWidth="1"/>
    <col min="14851" max="14851" width="3.28515625" style="64" customWidth="1"/>
    <col min="14852" max="14852" width="26.85546875" style="64" customWidth="1"/>
    <col min="14853" max="14853" width="0" style="64" hidden="1" customWidth="1"/>
    <col min="14854" max="14854" width="2.140625" style="64" customWidth="1"/>
    <col min="14855" max="15094" width="9.140625" style="64"/>
    <col min="15095" max="15095" width="2" style="64" customWidth="1"/>
    <col min="15096" max="15097" width="9.140625" style="64"/>
    <col min="15098" max="15098" width="7.28515625" style="64" customWidth="1"/>
    <col min="15099" max="15099" width="2.85546875" style="64" customWidth="1"/>
    <col min="15100" max="15100" width="9.140625" style="64"/>
    <col min="15101" max="15101" width="10.5703125" style="64" customWidth="1"/>
    <col min="15102" max="15102" width="7.85546875" style="64" customWidth="1"/>
    <col min="15103" max="15103" width="2.85546875" style="64" customWidth="1"/>
    <col min="15104" max="15104" width="21" style="64" customWidth="1"/>
    <col min="15105" max="15105" width="23.5703125" style="64" customWidth="1"/>
    <col min="15106" max="15106" width="12.140625" style="64" customWidth="1"/>
    <col min="15107" max="15107" width="3.28515625" style="64" customWidth="1"/>
    <col min="15108" max="15108" width="26.85546875" style="64" customWidth="1"/>
    <col min="15109" max="15109" width="0" style="64" hidden="1" customWidth="1"/>
    <col min="15110" max="15110" width="2.140625" style="64" customWidth="1"/>
    <col min="15111" max="15350" width="9.140625" style="64"/>
    <col min="15351" max="15351" width="2" style="64" customWidth="1"/>
    <col min="15352" max="15353" width="9.140625" style="64"/>
    <col min="15354" max="15354" width="7.28515625" style="64" customWidth="1"/>
    <col min="15355" max="15355" width="2.85546875" style="64" customWidth="1"/>
    <col min="15356" max="15356" width="9.140625" style="64"/>
    <col min="15357" max="15357" width="10.5703125" style="64" customWidth="1"/>
    <col min="15358" max="15358" width="7.85546875" style="64" customWidth="1"/>
    <col min="15359" max="15359" width="2.85546875" style="64" customWidth="1"/>
    <col min="15360" max="15360" width="21" style="64" customWidth="1"/>
    <col min="15361" max="15361" width="23.5703125" style="64" customWidth="1"/>
    <col min="15362" max="15362" width="12.140625" style="64" customWidth="1"/>
    <col min="15363" max="15363" width="3.28515625" style="64" customWidth="1"/>
    <col min="15364" max="15364" width="26.85546875" style="64" customWidth="1"/>
    <col min="15365" max="15365" width="0" style="64" hidden="1" customWidth="1"/>
    <col min="15366" max="15366" width="2.140625" style="64" customWidth="1"/>
    <col min="15367" max="15606" width="9.140625" style="64"/>
    <col min="15607" max="15607" width="2" style="64" customWidth="1"/>
    <col min="15608" max="15609" width="9.140625" style="64"/>
    <col min="15610" max="15610" width="7.28515625" style="64" customWidth="1"/>
    <col min="15611" max="15611" width="2.85546875" style="64" customWidth="1"/>
    <col min="15612" max="15612" width="9.140625" style="64"/>
    <col min="15613" max="15613" width="10.5703125" style="64" customWidth="1"/>
    <col min="15614" max="15614" width="7.85546875" style="64" customWidth="1"/>
    <col min="15615" max="15615" width="2.85546875" style="64" customWidth="1"/>
    <col min="15616" max="15616" width="21" style="64" customWidth="1"/>
    <col min="15617" max="15617" width="23.5703125" style="64" customWidth="1"/>
    <col min="15618" max="15618" width="12.140625" style="64" customWidth="1"/>
    <col min="15619" max="15619" width="3.28515625" style="64" customWidth="1"/>
    <col min="15620" max="15620" width="26.85546875" style="64" customWidth="1"/>
    <col min="15621" max="15621" width="0" style="64" hidden="1" customWidth="1"/>
    <col min="15622" max="15622" width="2.140625" style="64" customWidth="1"/>
    <col min="15623" max="15862" width="9.140625" style="64"/>
    <col min="15863" max="15863" width="2" style="64" customWidth="1"/>
    <col min="15864" max="15865" width="9.140625" style="64"/>
    <col min="15866" max="15866" width="7.28515625" style="64" customWidth="1"/>
    <col min="15867" max="15867" width="2.85546875" style="64" customWidth="1"/>
    <col min="15868" max="15868" width="9.140625" style="64"/>
    <col min="15869" max="15869" width="10.5703125" style="64" customWidth="1"/>
    <col min="15870" max="15870" width="7.85546875" style="64" customWidth="1"/>
    <col min="15871" max="15871" width="2.85546875" style="64" customWidth="1"/>
    <col min="15872" max="15872" width="21" style="64" customWidth="1"/>
    <col min="15873" max="15873" width="23.5703125" style="64" customWidth="1"/>
    <col min="15874" max="15874" width="12.140625" style="64" customWidth="1"/>
    <col min="15875" max="15875" width="3.28515625" style="64" customWidth="1"/>
    <col min="15876" max="15876" width="26.85546875" style="64" customWidth="1"/>
    <col min="15877" max="15877" width="0" style="64" hidden="1" customWidth="1"/>
    <col min="15878" max="15878" width="2.140625" style="64" customWidth="1"/>
    <col min="15879" max="16118" width="9.140625" style="64"/>
    <col min="16119" max="16119" width="2" style="64" customWidth="1"/>
    <col min="16120" max="16121" width="9.140625" style="64"/>
    <col min="16122" max="16122" width="7.28515625" style="64" customWidth="1"/>
    <col min="16123" max="16123" width="2.85546875" style="64" customWidth="1"/>
    <col min="16124" max="16124" width="9.140625" style="64"/>
    <col min="16125" max="16125" width="10.5703125" style="64" customWidth="1"/>
    <col min="16126" max="16126" width="7.85546875" style="64" customWidth="1"/>
    <col min="16127" max="16127" width="2.85546875" style="64" customWidth="1"/>
    <col min="16128" max="16128" width="21" style="64" customWidth="1"/>
    <col min="16129" max="16129" width="23.5703125" style="64" customWidth="1"/>
    <col min="16130" max="16130" width="12.140625" style="64" customWidth="1"/>
    <col min="16131" max="16131" width="3.28515625" style="64" customWidth="1"/>
    <col min="16132" max="16132" width="26.85546875" style="64" customWidth="1"/>
    <col min="16133" max="16133" width="0" style="64" hidden="1" customWidth="1"/>
    <col min="16134" max="16134" width="2.140625" style="64" customWidth="1"/>
    <col min="16135" max="16384" width="9.140625" style="64"/>
  </cols>
  <sheetData>
    <row r="3" spans="1:11" ht="13.5" thickBot="1" x14ac:dyDescent="0.25"/>
    <row r="4" spans="1:11" ht="15.75" customHeight="1" thickTop="1" x14ac:dyDescent="0.2">
      <c r="C4" s="77"/>
      <c r="D4" s="77"/>
      <c r="E4" s="141" t="s">
        <v>266</v>
      </c>
      <c r="F4" s="142"/>
      <c r="G4" s="142"/>
      <c r="H4" s="143"/>
    </row>
    <row r="5" spans="1:11" ht="15" customHeight="1" x14ac:dyDescent="0.2">
      <c r="C5" s="77"/>
      <c r="D5" s="77"/>
      <c r="E5" s="144"/>
      <c r="F5" s="145"/>
      <c r="G5" s="145"/>
      <c r="H5" s="146"/>
    </row>
    <row r="6" spans="1:11" ht="15" customHeight="1" thickBot="1" x14ac:dyDescent="0.25">
      <c r="C6" s="77"/>
      <c r="D6" s="77"/>
      <c r="E6" s="147"/>
      <c r="F6" s="148"/>
      <c r="G6" s="148"/>
      <c r="H6" s="149"/>
    </row>
    <row r="7" spans="1:11" ht="13.5" thickTop="1" x14ac:dyDescent="0.2"/>
    <row r="14" spans="1:11" x14ac:dyDescent="0.2">
      <c r="B14" s="64" t="s">
        <v>196</v>
      </c>
      <c r="G14" s="65"/>
    </row>
    <row r="15" spans="1:11" ht="13.5" thickBot="1" x14ac:dyDescent="0.25">
      <c r="G15" s="65"/>
    </row>
    <row r="16" spans="1:11" ht="15.75" customHeight="1" thickTop="1" x14ac:dyDescent="0.2">
      <c r="A16" s="78"/>
      <c r="B16" s="128"/>
      <c r="C16" s="128"/>
      <c r="D16" s="128"/>
      <c r="E16" s="78"/>
      <c r="F16" s="79"/>
      <c r="G16" s="69"/>
      <c r="H16" s="79"/>
      <c r="I16" s="81"/>
      <c r="J16" s="84"/>
      <c r="K16" s="71"/>
    </row>
    <row r="17" spans="1:11" x14ac:dyDescent="0.2">
      <c r="A17" s="78"/>
      <c r="B17" s="128"/>
      <c r="C17" s="128"/>
      <c r="D17" s="128"/>
      <c r="E17" s="78"/>
      <c r="F17" s="85" t="s">
        <v>55</v>
      </c>
      <c r="G17" s="70"/>
      <c r="H17" s="85" t="s">
        <v>89</v>
      </c>
      <c r="I17" s="84"/>
      <c r="J17" s="84"/>
      <c r="K17" s="71"/>
    </row>
    <row r="18" spans="1:11" ht="15" customHeight="1" x14ac:dyDescent="0.2">
      <c r="A18" s="78"/>
      <c r="B18" s="84"/>
      <c r="C18" s="84"/>
      <c r="D18" s="84"/>
      <c r="E18" s="78"/>
      <c r="F18" s="83"/>
      <c r="G18" s="78"/>
      <c r="H18" s="83"/>
      <c r="I18" s="84"/>
      <c r="J18" s="84"/>
      <c r="K18" s="71"/>
    </row>
    <row r="19" spans="1:11" ht="25.5" x14ac:dyDescent="0.2">
      <c r="A19" s="78"/>
      <c r="B19" s="131"/>
      <c r="C19" s="131"/>
      <c r="D19" s="131"/>
      <c r="E19" s="78"/>
      <c r="F19" s="90" t="s">
        <v>214</v>
      </c>
      <c r="G19" s="78"/>
      <c r="H19" s="90" t="s">
        <v>263</v>
      </c>
      <c r="I19" s="89"/>
      <c r="J19" s="89"/>
      <c r="K19" s="71"/>
    </row>
    <row r="20" spans="1:11" x14ac:dyDescent="0.2">
      <c r="A20" s="78"/>
      <c r="B20" s="70"/>
      <c r="C20" s="70"/>
      <c r="D20" s="70"/>
      <c r="E20" s="78"/>
      <c r="F20" s="85"/>
      <c r="G20" s="78"/>
      <c r="H20" s="85"/>
      <c r="I20" s="91"/>
      <c r="J20" s="91"/>
      <c r="K20" s="71"/>
    </row>
    <row r="21" spans="1:11" x14ac:dyDescent="0.2">
      <c r="A21" s="78"/>
      <c r="B21" s="70"/>
      <c r="C21" s="70"/>
      <c r="D21" s="70"/>
      <c r="E21" s="78"/>
      <c r="F21" s="87"/>
      <c r="G21" s="78"/>
      <c r="H21" s="87" t="s">
        <v>264</v>
      </c>
      <c r="I21" s="96"/>
      <c r="J21" s="96"/>
      <c r="K21" s="71"/>
    </row>
    <row r="22" spans="1:11" ht="13.5" thickBot="1" x14ac:dyDescent="0.25">
      <c r="A22" s="78"/>
      <c r="B22" s="70"/>
      <c r="C22" s="70"/>
      <c r="D22" s="70"/>
      <c r="E22" s="78"/>
      <c r="F22" s="97"/>
      <c r="G22" s="78"/>
      <c r="H22" s="97"/>
      <c r="I22" s="96"/>
      <c r="J22" s="96"/>
      <c r="K22" s="71"/>
    </row>
    <row r="23" spans="1:11" ht="13.5" thickTop="1" x14ac:dyDescent="0.2">
      <c r="A23" s="78"/>
      <c r="B23" s="67"/>
      <c r="C23" s="67"/>
      <c r="D23" s="67"/>
      <c r="E23" s="78"/>
      <c r="F23" s="78"/>
      <c r="G23" s="78"/>
      <c r="H23" s="89"/>
      <c r="I23" s="96"/>
      <c r="J23" s="96"/>
      <c r="K23" s="78"/>
    </row>
    <row r="24" spans="1:11" x14ac:dyDescent="0.2">
      <c r="A24" s="78"/>
      <c r="B24" s="67"/>
      <c r="C24" s="67"/>
      <c r="D24" s="67"/>
      <c r="E24" s="78"/>
      <c r="F24" s="78"/>
      <c r="G24" s="78"/>
      <c r="H24" s="89"/>
      <c r="I24" s="96"/>
      <c r="J24" s="96"/>
      <c r="K24" s="78"/>
    </row>
    <row r="25" spans="1:11" ht="12.75" customHeight="1" x14ac:dyDescent="0.2">
      <c r="A25" s="78"/>
      <c r="B25" s="67"/>
      <c r="C25" s="67"/>
      <c r="D25" s="67"/>
      <c r="E25" s="78"/>
      <c r="F25" s="78"/>
      <c r="G25" s="78"/>
      <c r="H25" s="70"/>
      <c r="I25" s="96"/>
      <c r="J25" s="96"/>
      <c r="K25" s="78"/>
    </row>
    <row r="26" spans="1:11" ht="12.75" customHeight="1" x14ac:dyDescent="0.2">
      <c r="A26" s="78"/>
      <c r="B26" s="67"/>
      <c r="C26" s="67"/>
      <c r="D26" s="67"/>
      <c r="E26" s="78"/>
      <c r="G26" s="71"/>
      <c r="H26" s="109"/>
      <c r="I26" s="96"/>
      <c r="J26" s="96"/>
      <c r="K26" s="78"/>
    </row>
    <row r="27" spans="1:11" ht="13.5" thickBot="1" x14ac:dyDescent="0.25">
      <c r="A27" s="78"/>
      <c r="E27" s="78"/>
      <c r="G27" s="70"/>
      <c r="I27" s="103"/>
      <c r="J27" s="70"/>
      <c r="K27" s="78"/>
    </row>
    <row r="28" spans="1:11" ht="13.5" thickTop="1" x14ac:dyDescent="0.2">
      <c r="A28" s="78"/>
      <c r="E28" s="78"/>
      <c r="G28" s="71"/>
      <c r="K28" s="78"/>
    </row>
    <row r="29" spans="1:11" x14ac:dyDescent="0.2">
      <c r="A29" s="78"/>
      <c r="E29" s="78"/>
      <c r="G29" s="71"/>
      <c r="K29" s="78"/>
    </row>
    <row r="30" spans="1:11" x14ac:dyDescent="0.2">
      <c r="G30" s="66"/>
    </row>
    <row r="31" spans="1:11" x14ac:dyDescent="0.2">
      <c r="G31" s="66"/>
    </row>
    <row r="32" spans="1:11" x14ac:dyDescent="0.2">
      <c r="G32" s="66"/>
      <c r="H32" s="67"/>
    </row>
    <row r="33" spans="7:8" x14ac:dyDescent="0.2">
      <c r="G33" s="65"/>
      <c r="H33" s="67"/>
    </row>
    <row r="34" spans="7:8" x14ac:dyDescent="0.2">
      <c r="G34" s="65"/>
      <c r="H34" s="67"/>
    </row>
    <row r="35" spans="7:8" x14ac:dyDescent="0.2">
      <c r="G35" s="65"/>
      <c r="H35" s="66"/>
    </row>
    <row r="36" spans="7:8" x14ac:dyDescent="0.2">
      <c r="H36" s="66"/>
    </row>
    <row r="37" spans="7:8" x14ac:dyDescent="0.2">
      <c r="H37" s="66"/>
    </row>
    <row r="38" spans="7:8" x14ac:dyDescent="0.2">
      <c r="H38" s="68"/>
    </row>
    <row r="39" spans="7:8" x14ac:dyDescent="0.2">
      <c r="H39" s="66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H281"/>
  <sheetViews>
    <sheetView workbookViewId="0">
      <selection activeCell="F26" sqref="F2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35787.06</v>
      </c>
      <c r="C10" s="24">
        <v>41751.94</v>
      </c>
      <c r="D10" s="24">
        <f>SUM(B10:C10)</f>
        <v>77539</v>
      </c>
      <c r="E10" s="40"/>
      <c r="F10" s="24">
        <v>77539</v>
      </c>
      <c r="G10" s="6"/>
    </row>
    <row r="11" spans="1:8" x14ac:dyDescent="0.2">
      <c r="A11" s="23" t="s">
        <v>34</v>
      </c>
      <c r="B11" s="24">
        <v>10124.219999999999</v>
      </c>
      <c r="C11" s="24">
        <v>11295.86</v>
      </c>
      <c r="D11" s="24">
        <f>SUM(B11:C11)</f>
        <v>21420.080000000002</v>
      </c>
      <c r="E11" s="40"/>
      <c r="F11" s="24">
        <v>24741.07</v>
      </c>
      <c r="G11" s="6"/>
    </row>
    <row r="12" spans="1:8" x14ac:dyDescent="0.2">
      <c r="A12" s="38" t="s">
        <v>19</v>
      </c>
      <c r="B12" s="41">
        <f>SUM(B10:B11)</f>
        <v>45911.28</v>
      </c>
      <c r="C12" s="41">
        <f t="shared" ref="C12:D12" si="0">SUM(C10:C11)</f>
        <v>53047.8</v>
      </c>
      <c r="D12" s="41">
        <f t="shared" si="0"/>
        <v>98959.08</v>
      </c>
      <c r="E12" s="40">
        <f>SUM(D12/D29)*100</f>
        <v>93.889667040577962</v>
      </c>
      <c r="F12" s="27">
        <f>SUM(F10:F11)</f>
        <v>102280.07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3042.18</v>
      </c>
      <c r="C25" s="24">
        <v>3398.07</v>
      </c>
      <c r="D25" s="24">
        <f>SUM(B25:C25)</f>
        <v>6440.25</v>
      </c>
      <c r="E25" s="40"/>
      <c r="F25" s="24">
        <v>6590.82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3042.18</v>
      </c>
      <c r="C27" s="41">
        <f t="shared" ref="C27:D27" si="1">SUM(C25:C26)</f>
        <v>3398.07</v>
      </c>
      <c r="D27" s="41">
        <f t="shared" si="1"/>
        <v>6440.25</v>
      </c>
      <c r="E27" s="40">
        <f>SUM(D27/D29)*100</f>
        <v>6.1103329594220384</v>
      </c>
      <c r="F27" s="27">
        <f>SUM(F25:F26)</f>
        <v>6590.82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48953.46</v>
      </c>
      <c r="C29" s="41">
        <f>SUM(C27,C23,C20,C16,C12)</f>
        <v>56445.87</v>
      </c>
      <c r="D29" s="41">
        <f>SUM(B29:C29)</f>
        <v>105399.33</v>
      </c>
      <c r="E29" s="40">
        <f>SUM(E12:E27)</f>
        <v>100</v>
      </c>
      <c r="F29" s="27">
        <f>F27+F23+F20+F16+F12</f>
        <v>108870.89000000001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-48953.46</v>
      </c>
      <c r="C33" s="27">
        <f t="shared" si="2"/>
        <v>-56445.87</v>
      </c>
      <c r="D33" s="27">
        <f t="shared" si="2"/>
        <v>-105399.33</v>
      </c>
      <c r="E33" s="47">
        <f t="shared" si="2"/>
        <v>-100</v>
      </c>
      <c r="F33" s="27">
        <f t="shared" si="2"/>
        <v>-108870.89000000001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H285"/>
  <sheetViews>
    <sheetView topLeftCell="A37" zoomScaleNormal="100" workbookViewId="0">
      <selection activeCell="F26" sqref="F26"/>
    </sheetView>
  </sheetViews>
  <sheetFormatPr defaultRowHeight="12.75" x14ac:dyDescent="0.2"/>
  <cols>
    <col min="1" max="1" width="24.7109375" style="1" customWidth="1"/>
    <col min="2" max="2" width="11.140625" style="1" customWidth="1"/>
    <col min="3" max="3" width="10.28515625" style="17" customWidth="1"/>
    <col min="4" max="4" width="10.42578125" style="17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134" t="s">
        <v>9</v>
      </c>
      <c r="B5" s="134"/>
      <c r="C5" s="134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34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34"/>
    </row>
    <row r="9" spans="1:8" x14ac:dyDescent="0.2">
      <c r="A9" s="38" t="s">
        <v>18</v>
      </c>
      <c r="B9" s="35"/>
      <c r="C9" s="36"/>
      <c r="D9" s="36"/>
      <c r="E9" s="39"/>
      <c r="F9" s="23"/>
      <c r="G9" s="23"/>
    </row>
    <row r="10" spans="1:8" x14ac:dyDescent="0.2">
      <c r="A10" s="23" t="s">
        <v>18</v>
      </c>
      <c r="B10" s="24">
        <v>25385.040000000001</v>
      </c>
      <c r="C10" s="24">
        <v>29614.959999999999</v>
      </c>
      <c r="D10" s="24">
        <f>SUM(B10:C10)</f>
        <v>55000</v>
      </c>
      <c r="E10" s="40"/>
      <c r="F10" s="24">
        <v>55000</v>
      </c>
      <c r="G10" s="23"/>
    </row>
    <row r="11" spans="1:8" x14ac:dyDescent="0.2">
      <c r="A11" s="23" t="s">
        <v>34</v>
      </c>
      <c r="B11" s="24">
        <v>7793.54</v>
      </c>
      <c r="C11" s="24">
        <v>8226.5300000000007</v>
      </c>
      <c r="D11" s="24">
        <f>SUM(B11:C11)</f>
        <v>16020.07</v>
      </c>
      <c r="E11" s="40"/>
      <c r="F11" s="24">
        <v>15880.56</v>
      </c>
      <c r="G11" s="23"/>
    </row>
    <row r="12" spans="1:8" x14ac:dyDescent="0.2">
      <c r="A12" s="38" t="s">
        <v>19</v>
      </c>
      <c r="B12" s="41">
        <f>SUM(B10:B11)</f>
        <v>33178.58</v>
      </c>
      <c r="C12" s="41">
        <f t="shared" ref="C12:D12" si="0">SUM(C10:C11)</f>
        <v>37841.49</v>
      </c>
      <c r="D12" s="41">
        <f t="shared" si="0"/>
        <v>71020.070000000007</v>
      </c>
      <c r="E12" s="40">
        <f>SUM(D12/D28)*100</f>
        <v>93.924485687242367</v>
      </c>
      <c r="F12" s="27">
        <f>SUM(F10:F11)</f>
        <v>70880.56</v>
      </c>
      <c r="G12" s="23"/>
    </row>
    <row r="13" spans="1:8" x14ac:dyDescent="0.2">
      <c r="A13" s="38" t="s">
        <v>20</v>
      </c>
      <c r="B13" s="41"/>
      <c r="C13" s="24"/>
      <c r="D13" s="24"/>
      <c r="E13" s="40"/>
      <c r="F13" s="24"/>
      <c r="G13" s="23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23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23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SUM(D16/D28)*100</f>
        <v>0</v>
      </c>
      <c r="F16" s="27">
        <f>SUM(F14:F15)</f>
        <v>0</v>
      </c>
      <c r="G16" s="23"/>
    </row>
    <row r="17" spans="1:7" x14ac:dyDescent="0.2">
      <c r="A17" s="38" t="s">
        <v>23</v>
      </c>
      <c r="B17" s="27"/>
      <c r="C17" s="24"/>
      <c r="D17" s="24"/>
      <c r="E17" s="40"/>
      <c r="F17" s="24"/>
      <c r="G17" s="23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23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23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SUM(D20/D28)*100</f>
        <v>0</v>
      </c>
      <c r="F20" s="27">
        <f>SUM(F18:F19)</f>
        <v>0</v>
      </c>
      <c r="G20" s="23"/>
    </row>
    <row r="21" spans="1:7" x14ac:dyDescent="0.2">
      <c r="A21" s="38" t="s">
        <v>26</v>
      </c>
      <c r="B21" s="41"/>
      <c r="C21" s="24"/>
      <c r="D21" s="24"/>
      <c r="E21" s="40"/>
      <c r="F21" s="24"/>
      <c r="G21" s="23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23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SUM(D23/D28)*100</f>
        <v>0</v>
      </c>
      <c r="F23" s="27">
        <f>SUM(F22)</f>
        <v>0</v>
      </c>
      <c r="G23" s="23"/>
    </row>
    <row r="24" spans="1:7" x14ac:dyDescent="0.2">
      <c r="A24" s="38" t="s">
        <v>28</v>
      </c>
      <c r="B24" s="27"/>
      <c r="C24" s="24"/>
      <c r="D24" s="24"/>
      <c r="E24" s="40"/>
      <c r="F24" s="24"/>
      <c r="G24" s="23"/>
    </row>
    <row r="25" spans="1:7" x14ac:dyDescent="0.2">
      <c r="A25" s="23" t="s">
        <v>37</v>
      </c>
      <c r="B25" s="24">
        <v>2157.84</v>
      </c>
      <c r="C25" s="24">
        <v>2436.1</v>
      </c>
      <c r="D25" s="24">
        <f>SUM(B25:C25)</f>
        <v>4593.9400000000005</v>
      </c>
      <c r="E25" s="40"/>
      <c r="F25" s="24">
        <v>4675</v>
      </c>
      <c r="G25" s="23"/>
    </row>
    <row r="26" spans="1:7" x14ac:dyDescent="0.2">
      <c r="A26" s="38" t="s">
        <v>29</v>
      </c>
      <c r="B26" s="41">
        <f>SUM(B25)</f>
        <v>2157.84</v>
      </c>
      <c r="C26" s="41">
        <f>SUM(C25)</f>
        <v>2436.1</v>
      </c>
      <c r="D26" s="41">
        <f>SUM(B26:C26)</f>
        <v>4593.9400000000005</v>
      </c>
      <c r="E26" s="40">
        <f>SUM(D26/D28)*100</f>
        <v>6.0755143127576501</v>
      </c>
      <c r="F26" s="27">
        <f>SUM(F25)</f>
        <v>4675</v>
      </c>
      <c r="G26" s="23"/>
    </row>
    <row r="27" spans="1:7" x14ac:dyDescent="0.2">
      <c r="A27" s="38"/>
      <c r="B27" s="27"/>
      <c r="C27" s="24"/>
      <c r="D27" s="27"/>
      <c r="E27" s="40"/>
      <c r="F27" s="24"/>
      <c r="G27" s="23"/>
    </row>
    <row r="28" spans="1:7" x14ac:dyDescent="0.2">
      <c r="A28" s="38" t="s">
        <v>30</v>
      </c>
      <c r="B28" s="41">
        <f>SUM(B26,B23,B20,B16,B12)</f>
        <v>35336.42</v>
      </c>
      <c r="C28" s="41">
        <f>SUM(C26,C23,C20,C16,C12)</f>
        <v>40277.589999999997</v>
      </c>
      <c r="D28" s="41">
        <f>SUM(B28:C28)</f>
        <v>75614.009999999995</v>
      </c>
      <c r="E28" s="40">
        <f>SUM(E12:E26)</f>
        <v>100.00000000000001</v>
      </c>
      <c r="F28" s="27">
        <f>F26+F23+F20+F16+F12</f>
        <v>75555.56</v>
      </c>
      <c r="G28" s="23"/>
    </row>
    <row r="29" spans="1:7" x14ac:dyDescent="0.2">
      <c r="A29" s="23"/>
      <c r="B29" s="24"/>
      <c r="C29" s="24"/>
      <c r="D29" s="24"/>
      <c r="E29" s="40"/>
      <c r="F29" s="24"/>
      <c r="G29" s="23"/>
    </row>
    <row r="30" spans="1:7" x14ac:dyDescent="0.2">
      <c r="A30" s="42" t="s">
        <v>31</v>
      </c>
      <c r="B30" s="41"/>
      <c r="C30" s="41"/>
      <c r="D30" s="41"/>
      <c r="E30" s="43"/>
      <c r="F30" s="24"/>
      <c r="G30" s="23"/>
    </row>
    <row r="31" spans="1:7" x14ac:dyDescent="0.2">
      <c r="A31" s="44" t="s">
        <v>128</v>
      </c>
      <c r="B31" s="41"/>
      <c r="C31" s="41"/>
      <c r="D31" s="41"/>
      <c r="E31" s="43"/>
      <c r="F31" s="24"/>
      <c r="G31" s="23"/>
    </row>
    <row r="32" spans="1:7" x14ac:dyDescent="0.2">
      <c r="A32" s="45" t="s">
        <v>128</v>
      </c>
      <c r="B32" s="24">
        <v>1000</v>
      </c>
      <c r="C32" s="24"/>
      <c r="D32" s="24">
        <f>SUM(B32:C32)</f>
        <v>1000</v>
      </c>
      <c r="E32" s="40">
        <f>(D33/D35)*100</f>
        <v>100</v>
      </c>
      <c r="F32" s="24">
        <v>2400</v>
      </c>
      <c r="G32" s="23"/>
    </row>
    <row r="33" spans="1:7" x14ac:dyDescent="0.2">
      <c r="A33" s="44" t="s">
        <v>129</v>
      </c>
      <c r="B33" s="41">
        <f>SUM(B32)</f>
        <v>1000</v>
      </c>
      <c r="C33" s="41">
        <f>SUM(C32)</f>
        <v>0</v>
      </c>
      <c r="D33" s="27">
        <f>SUM(B33:C33)</f>
        <v>1000</v>
      </c>
      <c r="E33" s="43"/>
      <c r="F33" s="27">
        <f>SUM(F32)</f>
        <v>2400</v>
      </c>
      <c r="G33" s="23"/>
    </row>
    <row r="34" spans="1:7" x14ac:dyDescent="0.2">
      <c r="A34" s="46"/>
      <c r="B34" s="41"/>
      <c r="C34" s="41"/>
      <c r="D34" s="27"/>
      <c r="E34" s="43"/>
      <c r="F34" s="24"/>
      <c r="G34" s="23"/>
    </row>
    <row r="35" spans="1:7" x14ac:dyDescent="0.2">
      <c r="A35" s="44" t="s">
        <v>60</v>
      </c>
      <c r="B35" s="41">
        <f>B33</f>
        <v>1000</v>
      </c>
      <c r="C35" s="41">
        <f t="shared" ref="C35:D35" si="1">C33</f>
        <v>0</v>
      </c>
      <c r="D35" s="41">
        <f t="shared" si="1"/>
        <v>1000</v>
      </c>
      <c r="E35" s="40">
        <f>SUM(E32)</f>
        <v>100</v>
      </c>
      <c r="F35" s="27">
        <f>F33</f>
        <v>2400</v>
      </c>
      <c r="G35" s="23"/>
    </row>
    <row r="36" spans="1:7" x14ac:dyDescent="0.2">
      <c r="A36" s="23"/>
      <c r="B36" s="24"/>
      <c r="C36" s="24"/>
      <c r="D36" s="24"/>
      <c r="E36" s="40"/>
      <c r="F36" s="24"/>
      <c r="G36" s="23"/>
    </row>
    <row r="37" spans="1:7" x14ac:dyDescent="0.2">
      <c r="A37" s="26" t="s">
        <v>32</v>
      </c>
      <c r="B37" s="27">
        <f>B35-B28</f>
        <v>-34336.42</v>
      </c>
      <c r="C37" s="27">
        <f>C30-C28</f>
        <v>-40277.589999999997</v>
      </c>
      <c r="D37" s="27">
        <f>D30-D28</f>
        <v>-75614.009999999995</v>
      </c>
      <c r="E37" s="47"/>
      <c r="F37" s="27">
        <f>F35-F28</f>
        <v>-73155.56</v>
      </c>
      <c r="G37" s="23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A42" s="12"/>
      <c r="B42" s="13"/>
      <c r="C42" s="13"/>
      <c r="D42" s="13"/>
      <c r="E42" s="14"/>
      <c r="F42" s="12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</sheetData>
  <mergeCells count="2">
    <mergeCell ref="B7:D7"/>
    <mergeCell ref="A5:C5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H273"/>
  <sheetViews>
    <sheetView topLeftCell="A13" workbookViewId="0">
      <selection activeCell="A41" sqref="A41:XFD50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89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22022.22</v>
      </c>
      <c r="C10" s="24">
        <v>24957.48</v>
      </c>
      <c r="D10" s="24">
        <f>SUM(B10:C10)</f>
        <v>46979.7</v>
      </c>
      <c r="E10" s="40"/>
      <c r="F10" s="24">
        <v>58944.84</v>
      </c>
      <c r="G10" s="6"/>
    </row>
    <row r="11" spans="1:8" x14ac:dyDescent="0.2">
      <c r="A11" s="23" t="s">
        <v>34</v>
      </c>
      <c r="B11" s="24">
        <v>8498.1299999999992</v>
      </c>
      <c r="C11" s="24">
        <v>7389.36</v>
      </c>
      <c r="D11" s="24">
        <f>SUM(B11:C11)</f>
        <v>15887.489999999998</v>
      </c>
      <c r="E11" s="40"/>
      <c r="F11" s="24">
        <v>20152.34</v>
      </c>
      <c r="G11" s="6"/>
    </row>
    <row r="12" spans="1:8" x14ac:dyDescent="0.2">
      <c r="A12" s="38" t="s">
        <v>19</v>
      </c>
      <c r="B12" s="41">
        <f>SUM(B10:B11)</f>
        <v>30520.35</v>
      </c>
      <c r="C12" s="41">
        <f t="shared" ref="C12:D12" si="0">SUM(C10:C11)</f>
        <v>32346.84</v>
      </c>
      <c r="D12" s="41">
        <f t="shared" si="0"/>
        <v>62867.189999999995</v>
      </c>
      <c r="E12" s="40">
        <f>SUM(D12/D29)*100</f>
        <v>92.735589090550235</v>
      </c>
      <c r="F12" s="27">
        <f>SUM(F10:F11)</f>
        <v>79097.179999999993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87</v>
      </c>
      <c r="B18" s="24">
        <v>937.75</v>
      </c>
      <c r="C18" s="24"/>
      <c r="D18" s="24">
        <f>SUM(B18:C18)</f>
        <v>937.75</v>
      </c>
      <c r="E18" s="40"/>
      <c r="F18" s="24">
        <v>1633.5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937.75</v>
      </c>
      <c r="C20" s="41">
        <f>SUM(C18:C19)</f>
        <v>0</v>
      </c>
      <c r="D20" s="41">
        <f>SUM(D18:D19)</f>
        <v>937.75</v>
      </c>
      <c r="E20" s="40">
        <f>SUM(D20/D29)*100</f>
        <v>1.3832779653371416</v>
      </c>
      <c r="F20" s="27">
        <f>SUM(F18:F19)</f>
        <v>1633.5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1909.44</v>
      </c>
      <c r="C25" s="24">
        <v>2077.4899999999998</v>
      </c>
      <c r="D25" s="24">
        <f>SUM(B25:C25)</f>
        <v>3986.93</v>
      </c>
      <c r="E25" s="40"/>
      <c r="F25" s="24">
        <v>5111.3999999999996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1909.44</v>
      </c>
      <c r="C27" s="41">
        <f t="shared" ref="C27:D27" si="1">SUM(C25:C26)</f>
        <v>2077.4899999999998</v>
      </c>
      <c r="D27" s="41">
        <f t="shared" si="1"/>
        <v>3986.93</v>
      </c>
      <c r="E27" s="40">
        <f>SUM(D27/D29)*100</f>
        <v>5.8811329441126201</v>
      </c>
      <c r="F27" s="27">
        <f>SUM(F25:F26)</f>
        <v>5111.3999999999996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33367.54</v>
      </c>
      <c r="C29" s="41">
        <f>SUM(C27,C23,C20,C16,C12)</f>
        <v>34424.33</v>
      </c>
      <c r="D29" s="41">
        <f>SUM(B29:C29)</f>
        <v>67791.87</v>
      </c>
      <c r="E29" s="40">
        <f>SUM(E12:E27)</f>
        <v>100</v>
      </c>
      <c r="F29" s="27">
        <f>F27+F23+F20+F16+F12</f>
        <v>85842.079999999987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128</v>
      </c>
      <c r="B32" s="41"/>
      <c r="C32" s="41"/>
      <c r="D32" s="41"/>
      <c r="E32" s="43"/>
      <c r="F32" s="24"/>
      <c r="G32" s="6"/>
    </row>
    <row r="33" spans="1:7" x14ac:dyDescent="0.2">
      <c r="A33" s="45" t="s">
        <v>128</v>
      </c>
      <c r="B33" s="24">
        <v>5962.74</v>
      </c>
      <c r="C33" s="24">
        <v>0</v>
      </c>
      <c r="D33" s="24">
        <f>SUM(B33:C33)</f>
        <v>5962.74</v>
      </c>
      <c r="E33" s="40"/>
      <c r="F33" s="24"/>
      <c r="G33" s="6"/>
    </row>
    <row r="34" spans="1:7" x14ac:dyDescent="0.2">
      <c r="A34" s="44" t="s">
        <v>129</v>
      </c>
      <c r="B34" s="41">
        <f>SUM(B33)</f>
        <v>5962.74</v>
      </c>
      <c r="C34" s="41">
        <f>SUM(C33)</f>
        <v>0</v>
      </c>
      <c r="D34" s="27">
        <f>SUM(B34:C34)</f>
        <v>5962.74</v>
      </c>
      <c r="E34" s="40">
        <f>(D34/D36)*100</f>
        <v>100</v>
      </c>
      <c r="F34" s="24"/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5962.74</v>
      </c>
      <c r="C36" s="41">
        <f t="shared" ref="C36:F36" si="2">C30+C34</f>
        <v>0</v>
      </c>
      <c r="D36" s="41">
        <f t="shared" si="2"/>
        <v>5962.74</v>
      </c>
      <c r="E36" s="49">
        <f>E30+E34</f>
        <v>100</v>
      </c>
      <c r="F36" s="41">
        <f t="shared" si="2"/>
        <v>0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B36-B25</f>
        <v>4053.2999999999997</v>
      </c>
      <c r="C38" s="27">
        <f t="shared" ref="C38:D38" si="3">C36-C25</f>
        <v>-2077.4899999999998</v>
      </c>
      <c r="D38" s="27">
        <f t="shared" si="3"/>
        <v>1975.81</v>
      </c>
      <c r="E38" s="50"/>
      <c r="F38" s="27">
        <f>F36-F25</f>
        <v>-5111.3999999999996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3:K43"/>
  <sheetViews>
    <sheetView topLeftCell="A13" workbookViewId="0">
      <selection activeCell="A46" sqref="A4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0.7109375" style="21" customWidth="1"/>
    <col min="5" max="6" width="9.28515625" style="21" bestFit="1" customWidth="1"/>
    <col min="7" max="7" width="10.5703125" style="21" customWidth="1"/>
    <col min="8" max="8" width="11" style="21" bestFit="1" customWidth="1"/>
    <col min="9" max="9" width="9.28515625" style="21" bestFit="1" customWidth="1"/>
    <col min="10" max="10" width="11" style="21" bestFit="1" customWidth="1"/>
    <col min="11" max="16384" width="9.140625" style="21"/>
  </cols>
  <sheetData>
    <row r="3" spans="1:11" ht="23.25" x14ac:dyDescent="0.35">
      <c r="A3" s="155" t="s">
        <v>46</v>
      </c>
      <c r="B3" s="156"/>
      <c r="C3" s="156"/>
      <c r="D3" s="156"/>
      <c r="E3" s="156"/>
      <c r="F3" s="156"/>
      <c r="G3" s="156"/>
      <c r="H3" s="156"/>
      <c r="I3" s="156"/>
      <c r="J3" s="156"/>
      <c r="K3" s="32"/>
    </row>
    <row r="5" spans="1:11" ht="18.75" x14ac:dyDescent="0.3">
      <c r="A5" s="28" t="s">
        <v>54</v>
      </c>
      <c r="B5" s="139" t="s">
        <v>47</v>
      </c>
      <c r="C5" s="139"/>
      <c r="D5" s="23"/>
      <c r="E5" s="151" t="s">
        <v>88</v>
      </c>
      <c r="F5" s="151"/>
      <c r="G5" s="151"/>
      <c r="H5" s="151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37" t="s">
        <v>59</v>
      </c>
      <c r="I7" s="137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55</v>
      </c>
      <c r="B9" s="24">
        <f>'022'!B12</f>
        <v>45911.28</v>
      </c>
      <c r="C9" s="24">
        <f>'022'!B16</f>
        <v>0</v>
      </c>
      <c r="D9" s="24">
        <f>'022'!B20</f>
        <v>0</v>
      </c>
      <c r="E9" s="24">
        <v>0</v>
      </c>
      <c r="F9" s="24">
        <f>'022'!B23</f>
        <v>0</v>
      </c>
      <c r="G9" s="24">
        <f>'022'!B27</f>
        <v>3042.18</v>
      </c>
      <c r="H9" s="24">
        <f>SUM(B9:G9)</f>
        <v>48953.46</v>
      </c>
      <c r="I9" s="24">
        <v>0</v>
      </c>
      <c r="J9" s="24">
        <f>I9-H9</f>
        <v>-48953.46</v>
      </c>
    </row>
    <row r="10" spans="1:11" x14ac:dyDescent="0.2">
      <c r="A10" s="23" t="s">
        <v>89</v>
      </c>
      <c r="B10" s="24">
        <f>'023'!B12</f>
        <v>30520.35</v>
      </c>
      <c r="C10" s="24">
        <f>'023'!B16</f>
        <v>0</v>
      </c>
      <c r="D10" s="24">
        <f>'023'!B20</f>
        <v>937.75</v>
      </c>
      <c r="E10" s="24">
        <v>0</v>
      </c>
      <c r="F10" s="24">
        <f>'023'!B23</f>
        <v>0</v>
      </c>
      <c r="G10" s="24">
        <f>'023'!B27</f>
        <v>1909.44</v>
      </c>
      <c r="H10" s="24">
        <f>SUM(B10:G10)</f>
        <v>33367.54</v>
      </c>
      <c r="I10" s="24">
        <f>'023'!B36</f>
        <v>5962.74</v>
      </c>
      <c r="J10" s="24">
        <f t="shared" ref="J10:J11" si="0">I10-H10</f>
        <v>-27404.800000000003</v>
      </c>
    </row>
    <row r="11" spans="1:11" x14ac:dyDescent="0.2">
      <c r="A11" s="26" t="s">
        <v>53</v>
      </c>
      <c r="B11" s="27">
        <f>SUM(B9:B10)</f>
        <v>76431.63</v>
      </c>
      <c r="C11" s="27">
        <f t="shared" ref="C11:F11" si="1">SUM(C9:C10)</f>
        <v>0</v>
      </c>
      <c r="D11" s="27">
        <f t="shared" si="1"/>
        <v>937.75</v>
      </c>
      <c r="E11" s="27">
        <f t="shared" si="1"/>
        <v>0</v>
      </c>
      <c r="F11" s="27">
        <f t="shared" si="1"/>
        <v>0</v>
      </c>
      <c r="G11" s="27">
        <f>SUM(G9:G10)</f>
        <v>4951.62</v>
      </c>
      <c r="H11" s="27">
        <f>SUM(H9:H10)</f>
        <v>82321</v>
      </c>
      <c r="I11" s="27">
        <f>SUM(I9:I10)</f>
        <v>5962.74</v>
      </c>
      <c r="J11" s="27">
        <f t="shared" si="0"/>
        <v>-76358.259999999995</v>
      </c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" x14ac:dyDescent="0.2">
      <c r="A17" s="6"/>
    </row>
    <row r="18" spans="1:1" x14ac:dyDescent="0.2">
      <c r="A18" s="6"/>
    </row>
    <row r="37" spans="1:10" ht="18.75" x14ac:dyDescent="0.3">
      <c r="A37" s="28" t="s">
        <v>286</v>
      </c>
      <c r="B37" s="139" t="s">
        <v>47</v>
      </c>
      <c r="C37" s="139"/>
      <c r="D37" s="23"/>
      <c r="E37" s="151" t="s">
        <v>88</v>
      </c>
      <c r="F37" s="151"/>
      <c r="G37" s="151"/>
      <c r="H37" s="151"/>
    </row>
    <row r="38" spans="1:10" x14ac:dyDescent="0.2">
      <c r="B38" s="6"/>
      <c r="C38" s="7"/>
      <c r="D38" s="6"/>
      <c r="E38" s="6"/>
      <c r="F38" s="6"/>
      <c r="G38" s="6"/>
      <c r="H38" s="29" t="s">
        <v>63</v>
      </c>
      <c r="I38" s="29" t="s">
        <v>62</v>
      </c>
      <c r="J38" s="6"/>
    </row>
    <row r="39" spans="1:10" x14ac:dyDescent="0.2">
      <c r="A39" s="23"/>
      <c r="B39" s="23"/>
      <c r="C39" s="138" t="s">
        <v>56</v>
      </c>
      <c r="D39" s="138" t="s">
        <v>57</v>
      </c>
      <c r="E39" s="138" t="s">
        <v>58</v>
      </c>
      <c r="F39" s="138" t="s">
        <v>64</v>
      </c>
      <c r="G39" s="138" t="s">
        <v>2</v>
      </c>
      <c r="H39" s="137" t="s">
        <v>59</v>
      </c>
      <c r="I39" s="137" t="s">
        <v>60</v>
      </c>
      <c r="J39" s="138" t="s">
        <v>61</v>
      </c>
    </row>
    <row r="40" spans="1:10" x14ac:dyDescent="0.2">
      <c r="A40" s="23"/>
      <c r="B40" s="23" t="s">
        <v>49</v>
      </c>
      <c r="C40" s="138"/>
      <c r="D40" s="138"/>
      <c r="E40" s="138"/>
      <c r="F40" s="138"/>
      <c r="G40" s="138"/>
      <c r="H40" s="137"/>
      <c r="I40" s="137"/>
      <c r="J40" s="138"/>
    </row>
    <row r="41" spans="1:10" x14ac:dyDescent="0.2">
      <c r="A41" s="23" t="s">
        <v>55</v>
      </c>
      <c r="B41" s="24">
        <f>'022'!C12</f>
        <v>53047.8</v>
      </c>
      <c r="C41" s="24">
        <f>'022'!C16</f>
        <v>0</v>
      </c>
      <c r="D41" s="24">
        <f>'022'!C20</f>
        <v>0</v>
      </c>
      <c r="E41" s="24">
        <v>0</v>
      </c>
      <c r="F41" s="24">
        <f>'022'!C23</f>
        <v>0</v>
      </c>
      <c r="G41" s="24">
        <f>'022'!C27</f>
        <v>3398.07</v>
      </c>
      <c r="H41" s="24">
        <f>SUM(B41:G41)</f>
        <v>56445.87</v>
      </c>
      <c r="I41" s="24">
        <v>0</v>
      </c>
      <c r="J41" s="24">
        <f>I41-H41</f>
        <v>-56445.87</v>
      </c>
    </row>
    <row r="42" spans="1:10" x14ac:dyDescent="0.2">
      <c r="A42" s="23" t="s">
        <v>89</v>
      </c>
      <c r="B42" s="24">
        <f>'023'!C12</f>
        <v>32346.84</v>
      </c>
      <c r="C42" s="24">
        <f>'023'!C16</f>
        <v>0</v>
      </c>
      <c r="D42" s="24">
        <f>'023'!C20</f>
        <v>0</v>
      </c>
      <c r="E42" s="24">
        <v>0</v>
      </c>
      <c r="F42" s="24">
        <f>'023'!C23</f>
        <v>0</v>
      </c>
      <c r="G42" s="24">
        <f>'023'!C27</f>
        <v>2077.4899999999998</v>
      </c>
      <c r="H42" s="24">
        <f>SUM(B42:G42)</f>
        <v>34424.33</v>
      </c>
      <c r="I42" s="24">
        <f>'023'!C34</f>
        <v>0</v>
      </c>
      <c r="J42" s="24">
        <f t="shared" ref="J42:J43" si="2">I42-H42</f>
        <v>-34424.33</v>
      </c>
    </row>
    <row r="43" spans="1:10" x14ac:dyDescent="0.2">
      <c r="A43" s="26" t="s">
        <v>53</v>
      </c>
      <c r="B43" s="27">
        <f>SUM(B41:B42)</f>
        <v>85394.64</v>
      </c>
      <c r="C43" s="27">
        <f t="shared" ref="C43:F43" si="3">SUM(C41:C42)</f>
        <v>0</v>
      </c>
      <c r="D43" s="27">
        <f t="shared" si="3"/>
        <v>0</v>
      </c>
      <c r="E43" s="27">
        <f t="shared" si="3"/>
        <v>0</v>
      </c>
      <c r="F43" s="27">
        <f t="shared" si="3"/>
        <v>0</v>
      </c>
      <c r="G43" s="27">
        <f>SUM(G41:G42)</f>
        <v>5475.5599999999995</v>
      </c>
      <c r="H43" s="27">
        <f>SUM(H41:H42)</f>
        <v>90870.200000000012</v>
      </c>
      <c r="I43" s="27">
        <f>SUM(I41:I42)</f>
        <v>0</v>
      </c>
      <c r="J43" s="27">
        <f t="shared" si="2"/>
        <v>-90870.200000000012</v>
      </c>
    </row>
  </sheetData>
  <mergeCells count="21">
    <mergeCell ref="A3:J3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7:I8"/>
    <mergeCell ref="I39:I40"/>
    <mergeCell ref="J39:J40"/>
    <mergeCell ref="B37:C37"/>
    <mergeCell ref="E37:H37"/>
    <mergeCell ref="C39:C40"/>
    <mergeCell ref="D39:D40"/>
    <mergeCell ref="E39:E40"/>
    <mergeCell ref="F39:F40"/>
    <mergeCell ref="G39:G40"/>
    <mergeCell ref="H39:H40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zoomScale="85" workbookViewId="0">
      <selection activeCell="K20" sqref="K20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27.7109375" style="64" customWidth="1"/>
    <col min="9" max="9" width="0" style="64" hidden="1" customWidth="1"/>
    <col min="10" max="10" width="2.85546875" style="64" customWidth="1"/>
    <col min="11" max="11" width="18.85546875" style="64" bestFit="1" customWidth="1"/>
    <col min="12" max="12" width="2.85546875" style="64" customWidth="1"/>
    <col min="13" max="13" width="21.7109375" style="64" customWidth="1"/>
    <col min="14" max="247" width="9.140625" style="64"/>
    <col min="248" max="248" width="2" style="64" customWidth="1"/>
    <col min="249" max="250" width="9.140625" style="64"/>
    <col min="251" max="251" width="7.28515625" style="64" customWidth="1"/>
    <col min="252" max="252" width="2.85546875" style="64" customWidth="1"/>
    <col min="253" max="253" width="9.140625" style="64"/>
    <col min="254" max="254" width="10.5703125" style="64" customWidth="1"/>
    <col min="255" max="255" width="7.85546875" style="64" customWidth="1"/>
    <col min="256" max="256" width="2.85546875" style="64" customWidth="1"/>
    <col min="257" max="257" width="21" style="64" customWidth="1"/>
    <col min="258" max="258" width="23.5703125" style="64" customWidth="1"/>
    <col min="259" max="259" width="12.140625" style="64" customWidth="1"/>
    <col min="260" max="260" width="3.28515625" style="64" customWidth="1"/>
    <col min="261" max="261" width="26.85546875" style="64" customWidth="1"/>
    <col min="262" max="262" width="0" style="64" hidden="1" customWidth="1"/>
    <col min="263" max="263" width="2.140625" style="64" customWidth="1"/>
    <col min="264" max="503" width="9.140625" style="64"/>
    <col min="504" max="504" width="2" style="64" customWidth="1"/>
    <col min="505" max="506" width="9.140625" style="64"/>
    <col min="507" max="507" width="7.28515625" style="64" customWidth="1"/>
    <col min="508" max="508" width="2.85546875" style="64" customWidth="1"/>
    <col min="509" max="509" width="9.140625" style="64"/>
    <col min="510" max="510" width="10.5703125" style="64" customWidth="1"/>
    <col min="511" max="511" width="7.85546875" style="64" customWidth="1"/>
    <col min="512" max="512" width="2.85546875" style="64" customWidth="1"/>
    <col min="513" max="513" width="21" style="64" customWidth="1"/>
    <col min="514" max="514" width="23.5703125" style="64" customWidth="1"/>
    <col min="515" max="515" width="12.140625" style="64" customWidth="1"/>
    <col min="516" max="516" width="3.28515625" style="64" customWidth="1"/>
    <col min="517" max="517" width="26.85546875" style="64" customWidth="1"/>
    <col min="518" max="518" width="0" style="64" hidden="1" customWidth="1"/>
    <col min="519" max="519" width="2.140625" style="64" customWidth="1"/>
    <col min="520" max="759" width="9.140625" style="64"/>
    <col min="760" max="760" width="2" style="64" customWidth="1"/>
    <col min="761" max="762" width="9.140625" style="64"/>
    <col min="763" max="763" width="7.28515625" style="64" customWidth="1"/>
    <col min="764" max="764" width="2.85546875" style="64" customWidth="1"/>
    <col min="765" max="765" width="9.140625" style="64"/>
    <col min="766" max="766" width="10.5703125" style="64" customWidth="1"/>
    <col min="767" max="767" width="7.85546875" style="64" customWidth="1"/>
    <col min="768" max="768" width="2.85546875" style="64" customWidth="1"/>
    <col min="769" max="769" width="21" style="64" customWidth="1"/>
    <col min="770" max="770" width="23.5703125" style="64" customWidth="1"/>
    <col min="771" max="771" width="12.140625" style="64" customWidth="1"/>
    <col min="772" max="772" width="3.28515625" style="64" customWidth="1"/>
    <col min="773" max="773" width="26.85546875" style="64" customWidth="1"/>
    <col min="774" max="774" width="0" style="64" hidden="1" customWidth="1"/>
    <col min="775" max="775" width="2.140625" style="64" customWidth="1"/>
    <col min="776" max="1015" width="9.140625" style="64"/>
    <col min="1016" max="1016" width="2" style="64" customWidth="1"/>
    <col min="1017" max="1018" width="9.140625" style="64"/>
    <col min="1019" max="1019" width="7.28515625" style="64" customWidth="1"/>
    <col min="1020" max="1020" width="2.85546875" style="64" customWidth="1"/>
    <col min="1021" max="1021" width="9.140625" style="64"/>
    <col min="1022" max="1022" width="10.5703125" style="64" customWidth="1"/>
    <col min="1023" max="1023" width="7.85546875" style="64" customWidth="1"/>
    <col min="1024" max="1024" width="2.85546875" style="64" customWidth="1"/>
    <col min="1025" max="1025" width="21" style="64" customWidth="1"/>
    <col min="1026" max="1026" width="23.5703125" style="64" customWidth="1"/>
    <col min="1027" max="1027" width="12.140625" style="64" customWidth="1"/>
    <col min="1028" max="1028" width="3.28515625" style="64" customWidth="1"/>
    <col min="1029" max="1029" width="26.85546875" style="64" customWidth="1"/>
    <col min="1030" max="1030" width="0" style="64" hidden="1" customWidth="1"/>
    <col min="1031" max="1031" width="2.140625" style="64" customWidth="1"/>
    <col min="1032" max="1271" width="9.140625" style="64"/>
    <col min="1272" max="1272" width="2" style="64" customWidth="1"/>
    <col min="1273" max="1274" width="9.140625" style="64"/>
    <col min="1275" max="1275" width="7.28515625" style="64" customWidth="1"/>
    <col min="1276" max="1276" width="2.85546875" style="64" customWidth="1"/>
    <col min="1277" max="1277" width="9.140625" style="64"/>
    <col min="1278" max="1278" width="10.5703125" style="64" customWidth="1"/>
    <col min="1279" max="1279" width="7.85546875" style="64" customWidth="1"/>
    <col min="1280" max="1280" width="2.85546875" style="64" customWidth="1"/>
    <col min="1281" max="1281" width="21" style="64" customWidth="1"/>
    <col min="1282" max="1282" width="23.5703125" style="64" customWidth="1"/>
    <col min="1283" max="1283" width="12.140625" style="64" customWidth="1"/>
    <col min="1284" max="1284" width="3.28515625" style="64" customWidth="1"/>
    <col min="1285" max="1285" width="26.85546875" style="64" customWidth="1"/>
    <col min="1286" max="1286" width="0" style="64" hidden="1" customWidth="1"/>
    <col min="1287" max="1287" width="2.140625" style="64" customWidth="1"/>
    <col min="1288" max="1527" width="9.140625" style="64"/>
    <col min="1528" max="1528" width="2" style="64" customWidth="1"/>
    <col min="1529" max="1530" width="9.140625" style="64"/>
    <col min="1531" max="1531" width="7.28515625" style="64" customWidth="1"/>
    <col min="1532" max="1532" width="2.85546875" style="64" customWidth="1"/>
    <col min="1533" max="1533" width="9.140625" style="64"/>
    <col min="1534" max="1534" width="10.5703125" style="64" customWidth="1"/>
    <col min="1535" max="1535" width="7.85546875" style="64" customWidth="1"/>
    <col min="1536" max="1536" width="2.85546875" style="64" customWidth="1"/>
    <col min="1537" max="1537" width="21" style="64" customWidth="1"/>
    <col min="1538" max="1538" width="23.5703125" style="64" customWidth="1"/>
    <col min="1539" max="1539" width="12.140625" style="64" customWidth="1"/>
    <col min="1540" max="1540" width="3.28515625" style="64" customWidth="1"/>
    <col min="1541" max="1541" width="26.85546875" style="64" customWidth="1"/>
    <col min="1542" max="1542" width="0" style="64" hidden="1" customWidth="1"/>
    <col min="1543" max="1543" width="2.140625" style="64" customWidth="1"/>
    <col min="1544" max="1783" width="9.140625" style="64"/>
    <col min="1784" max="1784" width="2" style="64" customWidth="1"/>
    <col min="1785" max="1786" width="9.140625" style="64"/>
    <col min="1787" max="1787" width="7.28515625" style="64" customWidth="1"/>
    <col min="1788" max="1788" width="2.85546875" style="64" customWidth="1"/>
    <col min="1789" max="1789" width="9.140625" style="64"/>
    <col min="1790" max="1790" width="10.5703125" style="64" customWidth="1"/>
    <col min="1791" max="1791" width="7.85546875" style="64" customWidth="1"/>
    <col min="1792" max="1792" width="2.85546875" style="64" customWidth="1"/>
    <col min="1793" max="1793" width="21" style="64" customWidth="1"/>
    <col min="1794" max="1794" width="23.5703125" style="64" customWidth="1"/>
    <col min="1795" max="1795" width="12.140625" style="64" customWidth="1"/>
    <col min="1796" max="1796" width="3.28515625" style="64" customWidth="1"/>
    <col min="1797" max="1797" width="26.85546875" style="64" customWidth="1"/>
    <col min="1798" max="1798" width="0" style="64" hidden="1" customWidth="1"/>
    <col min="1799" max="1799" width="2.140625" style="64" customWidth="1"/>
    <col min="1800" max="2039" width="9.140625" style="64"/>
    <col min="2040" max="2040" width="2" style="64" customWidth="1"/>
    <col min="2041" max="2042" width="9.140625" style="64"/>
    <col min="2043" max="2043" width="7.28515625" style="64" customWidth="1"/>
    <col min="2044" max="2044" width="2.85546875" style="64" customWidth="1"/>
    <col min="2045" max="2045" width="9.140625" style="64"/>
    <col min="2046" max="2046" width="10.5703125" style="64" customWidth="1"/>
    <col min="2047" max="2047" width="7.85546875" style="64" customWidth="1"/>
    <col min="2048" max="2048" width="2.85546875" style="64" customWidth="1"/>
    <col min="2049" max="2049" width="21" style="64" customWidth="1"/>
    <col min="2050" max="2050" width="23.5703125" style="64" customWidth="1"/>
    <col min="2051" max="2051" width="12.140625" style="64" customWidth="1"/>
    <col min="2052" max="2052" width="3.28515625" style="64" customWidth="1"/>
    <col min="2053" max="2053" width="26.85546875" style="64" customWidth="1"/>
    <col min="2054" max="2054" width="0" style="64" hidden="1" customWidth="1"/>
    <col min="2055" max="2055" width="2.140625" style="64" customWidth="1"/>
    <col min="2056" max="2295" width="9.140625" style="64"/>
    <col min="2296" max="2296" width="2" style="64" customWidth="1"/>
    <col min="2297" max="2298" width="9.140625" style="64"/>
    <col min="2299" max="2299" width="7.28515625" style="64" customWidth="1"/>
    <col min="2300" max="2300" width="2.85546875" style="64" customWidth="1"/>
    <col min="2301" max="2301" width="9.140625" style="64"/>
    <col min="2302" max="2302" width="10.5703125" style="64" customWidth="1"/>
    <col min="2303" max="2303" width="7.85546875" style="64" customWidth="1"/>
    <col min="2304" max="2304" width="2.85546875" style="64" customWidth="1"/>
    <col min="2305" max="2305" width="21" style="64" customWidth="1"/>
    <col min="2306" max="2306" width="23.5703125" style="64" customWidth="1"/>
    <col min="2307" max="2307" width="12.140625" style="64" customWidth="1"/>
    <col min="2308" max="2308" width="3.28515625" style="64" customWidth="1"/>
    <col min="2309" max="2309" width="26.85546875" style="64" customWidth="1"/>
    <col min="2310" max="2310" width="0" style="64" hidden="1" customWidth="1"/>
    <col min="2311" max="2311" width="2.140625" style="64" customWidth="1"/>
    <col min="2312" max="2551" width="9.140625" style="64"/>
    <col min="2552" max="2552" width="2" style="64" customWidth="1"/>
    <col min="2553" max="2554" width="9.140625" style="64"/>
    <col min="2555" max="2555" width="7.28515625" style="64" customWidth="1"/>
    <col min="2556" max="2556" width="2.85546875" style="64" customWidth="1"/>
    <col min="2557" max="2557" width="9.140625" style="64"/>
    <col min="2558" max="2558" width="10.5703125" style="64" customWidth="1"/>
    <col min="2559" max="2559" width="7.85546875" style="64" customWidth="1"/>
    <col min="2560" max="2560" width="2.85546875" style="64" customWidth="1"/>
    <col min="2561" max="2561" width="21" style="64" customWidth="1"/>
    <col min="2562" max="2562" width="23.5703125" style="64" customWidth="1"/>
    <col min="2563" max="2563" width="12.140625" style="64" customWidth="1"/>
    <col min="2564" max="2564" width="3.28515625" style="64" customWidth="1"/>
    <col min="2565" max="2565" width="26.85546875" style="64" customWidth="1"/>
    <col min="2566" max="2566" width="0" style="64" hidden="1" customWidth="1"/>
    <col min="2567" max="2567" width="2.140625" style="64" customWidth="1"/>
    <col min="2568" max="2807" width="9.140625" style="64"/>
    <col min="2808" max="2808" width="2" style="64" customWidth="1"/>
    <col min="2809" max="2810" width="9.140625" style="64"/>
    <col min="2811" max="2811" width="7.28515625" style="64" customWidth="1"/>
    <col min="2812" max="2812" width="2.85546875" style="64" customWidth="1"/>
    <col min="2813" max="2813" width="9.140625" style="64"/>
    <col min="2814" max="2814" width="10.5703125" style="64" customWidth="1"/>
    <col min="2815" max="2815" width="7.85546875" style="64" customWidth="1"/>
    <col min="2816" max="2816" width="2.85546875" style="64" customWidth="1"/>
    <col min="2817" max="2817" width="21" style="64" customWidth="1"/>
    <col min="2818" max="2818" width="23.5703125" style="64" customWidth="1"/>
    <col min="2819" max="2819" width="12.140625" style="64" customWidth="1"/>
    <col min="2820" max="2820" width="3.28515625" style="64" customWidth="1"/>
    <col min="2821" max="2821" width="26.85546875" style="64" customWidth="1"/>
    <col min="2822" max="2822" width="0" style="64" hidden="1" customWidth="1"/>
    <col min="2823" max="2823" width="2.140625" style="64" customWidth="1"/>
    <col min="2824" max="3063" width="9.140625" style="64"/>
    <col min="3064" max="3064" width="2" style="64" customWidth="1"/>
    <col min="3065" max="3066" width="9.140625" style="64"/>
    <col min="3067" max="3067" width="7.28515625" style="64" customWidth="1"/>
    <col min="3068" max="3068" width="2.85546875" style="64" customWidth="1"/>
    <col min="3069" max="3069" width="9.140625" style="64"/>
    <col min="3070" max="3070" width="10.5703125" style="64" customWidth="1"/>
    <col min="3071" max="3071" width="7.85546875" style="64" customWidth="1"/>
    <col min="3072" max="3072" width="2.85546875" style="64" customWidth="1"/>
    <col min="3073" max="3073" width="21" style="64" customWidth="1"/>
    <col min="3074" max="3074" width="23.5703125" style="64" customWidth="1"/>
    <col min="3075" max="3075" width="12.140625" style="64" customWidth="1"/>
    <col min="3076" max="3076" width="3.28515625" style="64" customWidth="1"/>
    <col min="3077" max="3077" width="26.85546875" style="64" customWidth="1"/>
    <col min="3078" max="3078" width="0" style="64" hidden="1" customWidth="1"/>
    <col min="3079" max="3079" width="2.140625" style="64" customWidth="1"/>
    <col min="3080" max="3319" width="9.140625" style="64"/>
    <col min="3320" max="3320" width="2" style="64" customWidth="1"/>
    <col min="3321" max="3322" width="9.140625" style="64"/>
    <col min="3323" max="3323" width="7.28515625" style="64" customWidth="1"/>
    <col min="3324" max="3324" width="2.85546875" style="64" customWidth="1"/>
    <col min="3325" max="3325" width="9.140625" style="64"/>
    <col min="3326" max="3326" width="10.5703125" style="64" customWidth="1"/>
    <col min="3327" max="3327" width="7.85546875" style="64" customWidth="1"/>
    <col min="3328" max="3328" width="2.85546875" style="64" customWidth="1"/>
    <col min="3329" max="3329" width="21" style="64" customWidth="1"/>
    <col min="3330" max="3330" width="23.5703125" style="64" customWidth="1"/>
    <col min="3331" max="3331" width="12.140625" style="64" customWidth="1"/>
    <col min="3332" max="3332" width="3.28515625" style="64" customWidth="1"/>
    <col min="3333" max="3333" width="26.85546875" style="64" customWidth="1"/>
    <col min="3334" max="3334" width="0" style="64" hidden="1" customWidth="1"/>
    <col min="3335" max="3335" width="2.140625" style="64" customWidth="1"/>
    <col min="3336" max="3575" width="9.140625" style="64"/>
    <col min="3576" max="3576" width="2" style="64" customWidth="1"/>
    <col min="3577" max="3578" width="9.140625" style="64"/>
    <col min="3579" max="3579" width="7.28515625" style="64" customWidth="1"/>
    <col min="3580" max="3580" width="2.85546875" style="64" customWidth="1"/>
    <col min="3581" max="3581" width="9.140625" style="64"/>
    <col min="3582" max="3582" width="10.5703125" style="64" customWidth="1"/>
    <col min="3583" max="3583" width="7.85546875" style="64" customWidth="1"/>
    <col min="3584" max="3584" width="2.85546875" style="64" customWidth="1"/>
    <col min="3585" max="3585" width="21" style="64" customWidth="1"/>
    <col min="3586" max="3586" width="23.5703125" style="64" customWidth="1"/>
    <col min="3587" max="3587" width="12.140625" style="64" customWidth="1"/>
    <col min="3588" max="3588" width="3.28515625" style="64" customWidth="1"/>
    <col min="3589" max="3589" width="26.85546875" style="64" customWidth="1"/>
    <col min="3590" max="3590" width="0" style="64" hidden="1" customWidth="1"/>
    <col min="3591" max="3591" width="2.140625" style="64" customWidth="1"/>
    <col min="3592" max="3831" width="9.140625" style="64"/>
    <col min="3832" max="3832" width="2" style="64" customWidth="1"/>
    <col min="3833" max="3834" width="9.140625" style="64"/>
    <col min="3835" max="3835" width="7.28515625" style="64" customWidth="1"/>
    <col min="3836" max="3836" width="2.85546875" style="64" customWidth="1"/>
    <col min="3837" max="3837" width="9.140625" style="64"/>
    <col min="3838" max="3838" width="10.5703125" style="64" customWidth="1"/>
    <col min="3839" max="3839" width="7.85546875" style="64" customWidth="1"/>
    <col min="3840" max="3840" width="2.85546875" style="64" customWidth="1"/>
    <col min="3841" max="3841" width="21" style="64" customWidth="1"/>
    <col min="3842" max="3842" width="23.5703125" style="64" customWidth="1"/>
    <col min="3843" max="3843" width="12.140625" style="64" customWidth="1"/>
    <col min="3844" max="3844" width="3.28515625" style="64" customWidth="1"/>
    <col min="3845" max="3845" width="26.85546875" style="64" customWidth="1"/>
    <col min="3846" max="3846" width="0" style="64" hidden="1" customWidth="1"/>
    <col min="3847" max="3847" width="2.140625" style="64" customWidth="1"/>
    <col min="3848" max="4087" width="9.140625" style="64"/>
    <col min="4088" max="4088" width="2" style="64" customWidth="1"/>
    <col min="4089" max="4090" width="9.140625" style="64"/>
    <col min="4091" max="4091" width="7.28515625" style="64" customWidth="1"/>
    <col min="4092" max="4092" width="2.85546875" style="64" customWidth="1"/>
    <col min="4093" max="4093" width="9.140625" style="64"/>
    <col min="4094" max="4094" width="10.5703125" style="64" customWidth="1"/>
    <col min="4095" max="4095" width="7.85546875" style="64" customWidth="1"/>
    <col min="4096" max="4096" width="2.85546875" style="64" customWidth="1"/>
    <col min="4097" max="4097" width="21" style="64" customWidth="1"/>
    <col min="4098" max="4098" width="23.5703125" style="64" customWidth="1"/>
    <col min="4099" max="4099" width="12.140625" style="64" customWidth="1"/>
    <col min="4100" max="4100" width="3.28515625" style="64" customWidth="1"/>
    <col min="4101" max="4101" width="26.85546875" style="64" customWidth="1"/>
    <col min="4102" max="4102" width="0" style="64" hidden="1" customWidth="1"/>
    <col min="4103" max="4103" width="2.140625" style="64" customWidth="1"/>
    <col min="4104" max="4343" width="9.140625" style="64"/>
    <col min="4344" max="4344" width="2" style="64" customWidth="1"/>
    <col min="4345" max="4346" width="9.140625" style="64"/>
    <col min="4347" max="4347" width="7.28515625" style="64" customWidth="1"/>
    <col min="4348" max="4348" width="2.85546875" style="64" customWidth="1"/>
    <col min="4349" max="4349" width="9.140625" style="64"/>
    <col min="4350" max="4350" width="10.5703125" style="64" customWidth="1"/>
    <col min="4351" max="4351" width="7.85546875" style="64" customWidth="1"/>
    <col min="4352" max="4352" width="2.85546875" style="64" customWidth="1"/>
    <col min="4353" max="4353" width="21" style="64" customWidth="1"/>
    <col min="4354" max="4354" width="23.5703125" style="64" customWidth="1"/>
    <col min="4355" max="4355" width="12.140625" style="64" customWidth="1"/>
    <col min="4356" max="4356" width="3.28515625" style="64" customWidth="1"/>
    <col min="4357" max="4357" width="26.85546875" style="64" customWidth="1"/>
    <col min="4358" max="4358" width="0" style="64" hidden="1" customWidth="1"/>
    <col min="4359" max="4359" width="2.140625" style="64" customWidth="1"/>
    <col min="4360" max="4599" width="9.140625" style="64"/>
    <col min="4600" max="4600" width="2" style="64" customWidth="1"/>
    <col min="4601" max="4602" width="9.140625" style="64"/>
    <col min="4603" max="4603" width="7.28515625" style="64" customWidth="1"/>
    <col min="4604" max="4604" width="2.85546875" style="64" customWidth="1"/>
    <col min="4605" max="4605" width="9.140625" style="64"/>
    <col min="4606" max="4606" width="10.5703125" style="64" customWidth="1"/>
    <col min="4607" max="4607" width="7.85546875" style="64" customWidth="1"/>
    <col min="4608" max="4608" width="2.85546875" style="64" customWidth="1"/>
    <col min="4609" max="4609" width="21" style="64" customWidth="1"/>
    <col min="4610" max="4610" width="23.5703125" style="64" customWidth="1"/>
    <col min="4611" max="4611" width="12.140625" style="64" customWidth="1"/>
    <col min="4612" max="4612" width="3.28515625" style="64" customWidth="1"/>
    <col min="4613" max="4613" width="26.85546875" style="64" customWidth="1"/>
    <col min="4614" max="4614" width="0" style="64" hidden="1" customWidth="1"/>
    <col min="4615" max="4615" width="2.140625" style="64" customWidth="1"/>
    <col min="4616" max="4855" width="9.140625" style="64"/>
    <col min="4856" max="4856" width="2" style="64" customWidth="1"/>
    <col min="4857" max="4858" width="9.140625" style="64"/>
    <col min="4859" max="4859" width="7.28515625" style="64" customWidth="1"/>
    <col min="4860" max="4860" width="2.85546875" style="64" customWidth="1"/>
    <col min="4861" max="4861" width="9.140625" style="64"/>
    <col min="4862" max="4862" width="10.5703125" style="64" customWidth="1"/>
    <col min="4863" max="4863" width="7.85546875" style="64" customWidth="1"/>
    <col min="4864" max="4864" width="2.85546875" style="64" customWidth="1"/>
    <col min="4865" max="4865" width="21" style="64" customWidth="1"/>
    <col min="4866" max="4866" width="23.5703125" style="64" customWidth="1"/>
    <col min="4867" max="4867" width="12.140625" style="64" customWidth="1"/>
    <col min="4868" max="4868" width="3.28515625" style="64" customWidth="1"/>
    <col min="4869" max="4869" width="26.85546875" style="64" customWidth="1"/>
    <col min="4870" max="4870" width="0" style="64" hidden="1" customWidth="1"/>
    <col min="4871" max="4871" width="2.140625" style="64" customWidth="1"/>
    <col min="4872" max="5111" width="9.140625" style="64"/>
    <col min="5112" max="5112" width="2" style="64" customWidth="1"/>
    <col min="5113" max="5114" width="9.140625" style="64"/>
    <col min="5115" max="5115" width="7.28515625" style="64" customWidth="1"/>
    <col min="5116" max="5116" width="2.85546875" style="64" customWidth="1"/>
    <col min="5117" max="5117" width="9.140625" style="64"/>
    <col min="5118" max="5118" width="10.5703125" style="64" customWidth="1"/>
    <col min="5119" max="5119" width="7.85546875" style="64" customWidth="1"/>
    <col min="5120" max="5120" width="2.85546875" style="64" customWidth="1"/>
    <col min="5121" max="5121" width="21" style="64" customWidth="1"/>
    <col min="5122" max="5122" width="23.5703125" style="64" customWidth="1"/>
    <col min="5123" max="5123" width="12.140625" style="64" customWidth="1"/>
    <col min="5124" max="5124" width="3.28515625" style="64" customWidth="1"/>
    <col min="5125" max="5125" width="26.85546875" style="64" customWidth="1"/>
    <col min="5126" max="5126" width="0" style="64" hidden="1" customWidth="1"/>
    <col min="5127" max="5127" width="2.140625" style="64" customWidth="1"/>
    <col min="5128" max="5367" width="9.140625" style="64"/>
    <col min="5368" max="5368" width="2" style="64" customWidth="1"/>
    <col min="5369" max="5370" width="9.140625" style="64"/>
    <col min="5371" max="5371" width="7.28515625" style="64" customWidth="1"/>
    <col min="5372" max="5372" width="2.85546875" style="64" customWidth="1"/>
    <col min="5373" max="5373" width="9.140625" style="64"/>
    <col min="5374" max="5374" width="10.5703125" style="64" customWidth="1"/>
    <col min="5375" max="5375" width="7.85546875" style="64" customWidth="1"/>
    <col min="5376" max="5376" width="2.85546875" style="64" customWidth="1"/>
    <col min="5377" max="5377" width="21" style="64" customWidth="1"/>
    <col min="5378" max="5378" width="23.5703125" style="64" customWidth="1"/>
    <col min="5379" max="5379" width="12.140625" style="64" customWidth="1"/>
    <col min="5380" max="5380" width="3.28515625" style="64" customWidth="1"/>
    <col min="5381" max="5381" width="26.85546875" style="64" customWidth="1"/>
    <col min="5382" max="5382" width="0" style="64" hidden="1" customWidth="1"/>
    <col min="5383" max="5383" width="2.140625" style="64" customWidth="1"/>
    <col min="5384" max="5623" width="9.140625" style="64"/>
    <col min="5624" max="5624" width="2" style="64" customWidth="1"/>
    <col min="5625" max="5626" width="9.140625" style="64"/>
    <col min="5627" max="5627" width="7.28515625" style="64" customWidth="1"/>
    <col min="5628" max="5628" width="2.85546875" style="64" customWidth="1"/>
    <col min="5629" max="5629" width="9.140625" style="64"/>
    <col min="5630" max="5630" width="10.5703125" style="64" customWidth="1"/>
    <col min="5631" max="5631" width="7.85546875" style="64" customWidth="1"/>
    <col min="5632" max="5632" width="2.85546875" style="64" customWidth="1"/>
    <col min="5633" max="5633" width="21" style="64" customWidth="1"/>
    <col min="5634" max="5634" width="23.5703125" style="64" customWidth="1"/>
    <col min="5635" max="5635" width="12.140625" style="64" customWidth="1"/>
    <col min="5636" max="5636" width="3.28515625" style="64" customWidth="1"/>
    <col min="5637" max="5637" width="26.85546875" style="64" customWidth="1"/>
    <col min="5638" max="5638" width="0" style="64" hidden="1" customWidth="1"/>
    <col min="5639" max="5639" width="2.140625" style="64" customWidth="1"/>
    <col min="5640" max="5879" width="9.140625" style="64"/>
    <col min="5880" max="5880" width="2" style="64" customWidth="1"/>
    <col min="5881" max="5882" width="9.140625" style="64"/>
    <col min="5883" max="5883" width="7.28515625" style="64" customWidth="1"/>
    <col min="5884" max="5884" width="2.85546875" style="64" customWidth="1"/>
    <col min="5885" max="5885" width="9.140625" style="64"/>
    <col min="5886" max="5886" width="10.5703125" style="64" customWidth="1"/>
    <col min="5887" max="5887" width="7.85546875" style="64" customWidth="1"/>
    <col min="5888" max="5888" width="2.85546875" style="64" customWidth="1"/>
    <col min="5889" max="5889" width="21" style="64" customWidth="1"/>
    <col min="5890" max="5890" width="23.5703125" style="64" customWidth="1"/>
    <col min="5891" max="5891" width="12.140625" style="64" customWidth="1"/>
    <col min="5892" max="5892" width="3.28515625" style="64" customWidth="1"/>
    <col min="5893" max="5893" width="26.85546875" style="64" customWidth="1"/>
    <col min="5894" max="5894" width="0" style="64" hidden="1" customWidth="1"/>
    <col min="5895" max="5895" width="2.140625" style="64" customWidth="1"/>
    <col min="5896" max="6135" width="9.140625" style="64"/>
    <col min="6136" max="6136" width="2" style="64" customWidth="1"/>
    <col min="6137" max="6138" width="9.140625" style="64"/>
    <col min="6139" max="6139" width="7.28515625" style="64" customWidth="1"/>
    <col min="6140" max="6140" width="2.85546875" style="64" customWidth="1"/>
    <col min="6141" max="6141" width="9.140625" style="64"/>
    <col min="6142" max="6142" width="10.5703125" style="64" customWidth="1"/>
    <col min="6143" max="6143" width="7.85546875" style="64" customWidth="1"/>
    <col min="6144" max="6144" width="2.85546875" style="64" customWidth="1"/>
    <col min="6145" max="6145" width="21" style="64" customWidth="1"/>
    <col min="6146" max="6146" width="23.5703125" style="64" customWidth="1"/>
    <col min="6147" max="6147" width="12.140625" style="64" customWidth="1"/>
    <col min="6148" max="6148" width="3.28515625" style="64" customWidth="1"/>
    <col min="6149" max="6149" width="26.85546875" style="64" customWidth="1"/>
    <col min="6150" max="6150" width="0" style="64" hidden="1" customWidth="1"/>
    <col min="6151" max="6151" width="2.140625" style="64" customWidth="1"/>
    <col min="6152" max="6391" width="9.140625" style="64"/>
    <col min="6392" max="6392" width="2" style="64" customWidth="1"/>
    <col min="6393" max="6394" width="9.140625" style="64"/>
    <col min="6395" max="6395" width="7.28515625" style="64" customWidth="1"/>
    <col min="6396" max="6396" width="2.85546875" style="64" customWidth="1"/>
    <col min="6397" max="6397" width="9.140625" style="64"/>
    <col min="6398" max="6398" width="10.5703125" style="64" customWidth="1"/>
    <col min="6399" max="6399" width="7.85546875" style="64" customWidth="1"/>
    <col min="6400" max="6400" width="2.85546875" style="64" customWidth="1"/>
    <col min="6401" max="6401" width="21" style="64" customWidth="1"/>
    <col min="6402" max="6402" width="23.5703125" style="64" customWidth="1"/>
    <col min="6403" max="6403" width="12.140625" style="64" customWidth="1"/>
    <col min="6404" max="6404" width="3.28515625" style="64" customWidth="1"/>
    <col min="6405" max="6405" width="26.85546875" style="64" customWidth="1"/>
    <col min="6406" max="6406" width="0" style="64" hidden="1" customWidth="1"/>
    <col min="6407" max="6407" width="2.140625" style="64" customWidth="1"/>
    <col min="6408" max="6647" width="9.140625" style="64"/>
    <col min="6648" max="6648" width="2" style="64" customWidth="1"/>
    <col min="6649" max="6650" width="9.140625" style="64"/>
    <col min="6651" max="6651" width="7.28515625" style="64" customWidth="1"/>
    <col min="6652" max="6652" width="2.85546875" style="64" customWidth="1"/>
    <col min="6653" max="6653" width="9.140625" style="64"/>
    <col min="6654" max="6654" width="10.5703125" style="64" customWidth="1"/>
    <col min="6655" max="6655" width="7.85546875" style="64" customWidth="1"/>
    <col min="6656" max="6656" width="2.85546875" style="64" customWidth="1"/>
    <col min="6657" max="6657" width="21" style="64" customWidth="1"/>
    <col min="6658" max="6658" width="23.5703125" style="64" customWidth="1"/>
    <col min="6659" max="6659" width="12.140625" style="64" customWidth="1"/>
    <col min="6660" max="6660" width="3.28515625" style="64" customWidth="1"/>
    <col min="6661" max="6661" width="26.85546875" style="64" customWidth="1"/>
    <col min="6662" max="6662" width="0" style="64" hidden="1" customWidth="1"/>
    <col min="6663" max="6663" width="2.140625" style="64" customWidth="1"/>
    <col min="6664" max="6903" width="9.140625" style="64"/>
    <col min="6904" max="6904" width="2" style="64" customWidth="1"/>
    <col min="6905" max="6906" width="9.140625" style="64"/>
    <col min="6907" max="6907" width="7.28515625" style="64" customWidth="1"/>
    <col min="6908" max="6908" width="2.85546875" style="64" customWidth="1"/>
    <col min="6909" max="6909" width="9.140625" style="64"/>
    <col min="6910" max="6910" width="10.5703125" style="64" customWidth="1"/>
    <col min="6911" max="6911" width="7.85546875" style="64" customWidth="1"/>
    <col min="6912" max="6912" width="2.85546875" style="64" customWidth="1"/>
    <col min="6913" max="6913" width="21" style="64" customWidth="1"/>
    <col min="6914" max="6914" width="23.5703125" style="64" customWidth="1"/>
    <col min="6915" max="6915" width="12.140625" style="64" customWidth="1"/>
    <col min="6916" max="6916" width="3.28515625" style="64" customWidth="1"/>
    <col min="6917" max="6917" width="26.85546875" style="64" customWidth="1"/>
    <col min="6918" max="6918" width="0" style="64" hidden="1" customWidth="1"/>
    <col min="6919" max="6919" width="2.140625" style="64" customWidth="1"/>
    <col min="6920" max="7159" width="9.140625" style="64"/>
    <col min="7160" max="7160" width="2" style="64" customWidth="1"/>
    <col min="7161" max="7162" width="9.140625" style="64"/>
    <col min="7163" max="7163" width="7.28515625" style="64" customWidth="1"/>
    <col min="7164" max="7164" width="2.85546875" style="64" customWidth="1"/>
    <col min="7165" max="7165" width="9.140625" style="64"/>
    <col min="7166" max="7166" width="10.5703125" style="64" customWidth="1"/>
    <col min="7167" max="7167" width="7.85546875" style="64" customWidth="1"/>
    <col min="7168" max="7168" width="2.85546875" style="64" customWidth="1"/>
    <col min="7169" max="7169" width="21" style="64" customWidth="1"/>
    <col min="7170" max="7170" width="23.5703125" style="64" customWidth="1"/>
    <col min="7171" max="7171" width="12.140625" style="64" customWidth="1"/>
    <col min="7172" max="7172" width="3.28515625" style="64" customWidth="1"/>
    <col min="7173" max="7173" width="26.85546875" style="64" customWidth="1"/>
    <col min="7174" max="7174" width="0" style="64" hidden="1" customWidth="1"/>
    <col min="7175" max="7175" width="2.140625" style="64" customWidth="1"/>
    <col min="7176" max="7415" width="9.140625" style="64"/>
    <col min="7416" max="7416" width="2" style="64" customWidth="1"/>
    <col min="7417" max="7418" width="9.140625" style="64"/>
    <col min="7419" max="7419" width="7.28515625" style="64" customWidth="1"/>
    <col min="7420" max="7420" width="2.85546875" style="64" customWidth="1"/>
    <col min="7421" max="7421" width="9.140625" style="64"/>
    <col min="7422" max="7422" width="10.5703125" style="64" customWidth="1"/>
    <col min="7423" max="7423" width="7.85546875" style="64" customWidth="1"/>
    <col min="7424" max="7424" width="2.85546875" style="64" customWidth="1"/>
    <col min="7425" max="7425" width="21" style="64" customWidth="1"/>
    <col min="7426" max="7426" width="23.5703125" style="64" customWidth="1"/>
    <col min="7427" max="7427" width="12.140625" style="64" customWidth="1"/>
    <col min="7428" max="7428" width="3.28515625" style="64" customWidth="1"/>
    <col min="7429" max="7429" width="26.85546875" style="64" customWidth="1"/>
    <col min="7430" max="7430" width="0" style="64" hidden="1" customWidth="1"/>
    <col min="7431" max="7431" width="2.140625" style="64" customWidth="1"/>
    <col min="7432" max="7671" width="9.140625" style="64"/>
    <col min="7672" max="7672" width="2" style="64" customWidth="1"/>
    <col min="7673" max="7674" width="9.140625" style="64"/>
    <col min="7675" max="7675" width="7.28515625" style="64" customWidth="1"/>
    <col min="7676" max="7676" width="2.85546875" style="64" customWidth="1"/>
    <col min="7677" max="7677" width="9.140625" style="64"/>
    <col min="7678" max="7678" width="10.5703125" style="64" customWidth="1"/>
    <col min="7679" max="7679" width="7.85546875" style="64" customWidth="1"/>
    <col min="7680" max="7680" width="2.85546875" style="64" customWidth="1"/>
    <col min="7681" max="7681" width="21" style="64" customWidth="1"/>
    <col min="7682" max="7682" width="23.5703125" style="64" customWidth="1"/>
    <col min="7683" max="7683" width="12.140625" style="64" customWidth="1"/>
    <col min="7684" max="7684" width="3.28515625" style="64" customWidth="1"/>
    <col min="7685" max="7685" width="26.85546875" style="64" customWidth="1"/>
    <col min="7686" max="7686" width="0" style="64" hidden="1" customWidth="1"/>
    <col min="7687" max="7687" width="2.140625" style="64" customWidth="1"/>
    <col min="7688" max="7927" width="9.140625" style="64"/>
    <col min="7928" max="7928" width="2" style="64" customWidth="1"/>
    <col min="7929" max="7930" width="9.140625" style="64"/>
    <col min="7931" max="7931" width="7.28515625" style="64" customWidth="1"/>
    <col min="7932" max="7932" width="2.85546875" style="64" customWidth="1"/>
    <col min="7933" max="7933" width="9.140625" style="64"/>
    <col min="7934" max="7934" width="10.5703125" style="64" customWidth="1"/>
    <col min="7935" max="7935" width="7.85546875" style="64" customWidth="1"/>
    <col min="7936" max="7936" width="2.85546875" style="64" customWidth="1"/>
    <col min="7937" max="7937" width="21" style="64" customWidth="1"/>
    <col min="7938" max="7938" width="23.5703125" style="64" customWidth="1"/>
    <col min="7939" max="7939" width="12.140625" style="64" customWidth="1"/>
    <col min="7940" max="7940" width="3.28515625" style="64" customWidth="1"/>
    <col min="7941" max="7941" width="26.85546875" style="64" customWidth="1"/>
    <col min="7942" max="7942" width="0" style="64" hidden="1" customWidth="1"/>
    <col min="7943" max="7943" width="2.140625" style="64" customWidth="1"/>
    <col min="7944" max="8183" width="9.140625" style="64"/>
    <col min="8184" max="8184" width="2" style="64" customWidth="1"/>
    <col min="8185" max="8186" width="9.140625" style="64"/>
    <col min="8187" max="8187" width="7.28515625" style="64" customWidth="1"/>
    <col min="8188" max="8188" width="2.85546875" style="64" customWidth="1"/>
    <col min="8189" max="8189" width="9.140625" style="64"/>
    <col min="8190" max="8190" width="10.5703125" style="64" customWidth="1"/>
    <col min="8191" max="8191" width="7.85546875" style="64" customWidth="1"/>
    <col min="8192" max="8192" width="2.85546875" style="64" customWidth="1"/>
    <col min="8193" max="8193" width="21" style="64" customWidth="1"/>
    <col min="8194" max="8194" width="23.5703125" style="64" customWidth="1"/>
    <col min="8195" max="8195" width="12.140625" style="64" customWidth="1"/>
    <col min="8196" max="8196" width="3.28515625" style="64" customWidth="1"/>
    <col min="8197" max="8197" width="26.85546875" style="64" customWidth="1"/>
    <col min="8198" max="8198" width="0" style="64" hidden="1" customWidth="1"/>
    <col min="8199" max="8199" width="2.140625" style="64" customWidth="1"/>
    <col min="8200" max="8439" width="9.140625" style="64"/>
    <col min="8440" max="8440" width="2" style="64" customWidth="1"/>
    <col min="8441" max="8442" width="9.140625" style="64"/>
    <col min="8443" max="8443" width="7.28515625" style="64" customWidth="1"/>
    <col min="8444" max="8444" width="2.85546875" style="64" customWidth="1"/>
    <col min="8445" max="8445" width="9.140625" style="64"/>
    <col min="8446" max="8446" width="10.5703125" style="64" customWidth="1"/>
    <col min="8447" max="8447" width="7.85546875" style="64" customWidth="1"/>
    <col min="8448" max="8448" width="2.85546875" style="64" customWidth="1"/>
    <col min="8449" max="8449" width="21" style="64" customWidth="1"/>
    <col min="8450" max="8450" width="23.5703125" style="64" customWidth="1"/>
    <col min="8451" max="8451" width="12.140625" style="64" customWidth="1"/>
    <col min="8452" max="8452" width="3.28515625" style="64" customWidth="1"/>
    <col min="8453" max="8453" width="26.85546875" style="64" customWidth="1"/>
    <col min="8454" max="8454" width="0" style="64" hidden="1" customWidth="1"/>
    <col min="8455" max="8455" width="2.140625" style="64" customWidth="1"/>
    <col min="8456" max="8695" width="9.140625" style="64"/>
    <col min="8696" max="8696" width="2" style="64" customWidth="1"/>
    <col min="8697" max="8698" width="9.140625" style="64"/>
    <col min="8699" max="8699" width="7.28515625" style="64" customWidth="1"/>
    <col min="8700" max="8700" width="2.85546875" style="64" customWidth="1"/>
    <col min="8701" max="8701" width="9.140625" style="64"/>
    <col min="8702" max="8702" width="10.5703125" style="64" customWidth="1"/>
    <col min="8703" max="8703" width="7.85546875" style="64" customWidth="1"/>
    <col min="8704" max="8704" width="2.85546875" style="64" customWidth="1"/>
    <col min="8705" max="8705" width="21" style="64" customWidth="1"/>
    <col min="8706" max="8706" width="23.5703125" style="64" customWidth="1"/>
    <col min="8707" max="8707" width="12.140625" style="64" customWidth="1"/>
    <col min="8708" max="8708" width="3.28515625" style="64" customWidth="1"/>
    <col min="8709" max="8709" width="26.85546875" style="64" customWidth="1"/>
    <col min="8710" max="8710" width="0" style="64" hidden="1" customWidth="1"/>
    <col min="8711" max="8711" width="2.140625" style="64" customWidth="1"/>
    <col min="8712" max="8951" width="9.140625" style="64"/>
    <col min="8952" max="8952" width="2" style="64" customWidth="1"/>
    <col min="8953" max="8954" width="9.140625" style="64"/>
    <col min="8955" max="8955" width="7.28515625" style="64" customWidth="1"/>
    <col min="8956" max="8956" width="2.85546875" style="64" customWidth="1"/>
    <col min="8957" max="8957" width="9.140625" style="64"/>
    <col min="8958" max="8958" width="10.5703125" style="64" customWidth="1"/>
    <col min="8959" max="8959" width="7.85546875" style="64" customWidth="1"/>
    <col min="8960" max="8960" width="2.85546875" style="64" customWidth="1"/>
    <col min="8961" max="8961" width="21" style="64" customWidth="1"/>
    <col min="8962" max="8962" width="23.5703125" style="64" customWidth="1"/>
    <col min="8963" max="8963" width="12.140625" style="64" customWidth="1"/>
    <col min="8964" max="8964" width="3.28515625" style="64" customWidth="1"/>
    <col min="8965" max="8965" width="26.85546875" style="64" customWidth="1"/>
    <col min="8966" max="8966" width="0" style="64" hidden="1" customWidth="1"/>
    <col min="8967" max="8967" width="2.140625" style="64" customWidth="1"/>
    <col min="8968" max="9207" width="9.140625" style="64"/>
    <col min="9208" max="9208" width="2" style="64" customWidth="1"/>
    <col min="9209" max="9210" width="9.140625" style="64"/>
    <col min="9211" max="9211" width="7.28515625" style="64" customWidth="1"/>
    <col min="9212" max="9212" width="2.85546875" style="64" customWidth="1"/>
    <col min="9213" max="9213" width="9.140625" style="64"/>
    <col min="9214" max="9214" width="10.5703125" style="64" customWidth="1"/>
    <col min="9215" max="9215" width="7.85546875" style="64" customWidth="1"/>
    <col min="9216" max="9216" width="2.85546875" style="64" customWidth="1"/>
    <col min="9217" max="9217" width="21" style="64" customWidth="1"/>
    <col min="9218" max="9218" width="23.5703125" style="64" customWidth="1"/>
    <col min="9219" max="9219" width="12.140625" style="64" customWidth="1"/>
    <col min="9220" max="9220" width="3.28515625" style="64" customWidth="1"/>
    <col min="9221" max="9221" width="26.85546875" style="64" customWidth="1"/>
    <col min="9222" max="9222" width="0" style="64" hidden="1" customWidth="1"/>
    <col min="9223" max="9223" width="2.140625" style="64" customWidth="1"/>
    <col min="9224" max="9463" width="9.140625" style="64"/>
    <col min="9464" max="9464" width="2" style="64" customWidth="1"/>
    <col min="9465" max="9466" width="9.140625" style="64"/>
    <col min="9467" max="9467" width="7.28515625" style="64" customWidth="1"/>
    <col min="9468" max="9468" width="2.85546875" style="64" customWidth="1"/>
    <col min="9469" max="9469" width="9.140625" style="64"/>
    <col min="9470" max="9470" width="10.5703125" style="64" customWidth="1"/>
    <col min="9471" max="9471" width="7.85546875" style="64" customWidth="1"/>
    <col min="9472" max="9472" width="2.85546875" style="64" customWidth="1"/>
    <col min="9473" max="9473" width="21" style="64" customWidth="1"/>
    <col min="9474" max="9474" width="23.5703125" style="64" customWidth="1"/>
    <col min="9475" max="9475" width="12.140625" style="64" customWidth="1"/>
    <col min="9476" max="9476" width="3.28515625" style="64" customWidth="1"/>
    <col min="9477" max="9477" width="26.85546875" style="64" customWidth="1"/>
    <col min="9478" max="9478" width="0" style="64" hidden="1" customWidth="1"/>
    <col min="9479" max="9479" width="2.140625" style="64" customWidth="1"/>
    <col min="9480" max="9719" width="9.140625" style="64"/>
    <col min="9720" max="9720" width="2" style="64" customWidth="1"/>
    <col min="9721" max="9722" width="9.140625" style="64"/>
    <col min="9723" max="9723" width="7.28515625" style="64" customWidth="1"/>
    <col min="9724" max="9724" width="2.85546875" style="64" customWidth="1"/>
    <col min="9725" max="9725" width="9.140625" style="64"/>
    <col min="9726" max="9726" width="10.5703125" style="64" customWidth="1"/>
    <col min="9727" max="9727" width="7.85546875" style="64" customWidth="1"/>
    <col min="9728" max="9728" width="2.85546875" style="64" customWidth="1"/>
    <col min="9729" max="9729" width="21" style="64" customWidth="1"/>
    <col min="9730" max="9730" width="23.5703125" style="64" customWidth="1"/>
    <col min="9731" max="9731" width="12.140625" style="64" customWidth="1"/>
    <col min="9732" max="9732" width="3.28515625" style="64" customWidth="1"/>
    <col min="9733" max="9733" width="26.85546875" style="64" customWidth="1"/>
    <col min="9734" max="9734" width="0" style="64" hidden="1" customWidth="1"/>
    <col min="9735" max="9735" width="2.140625" style="64" customWidth="1"/>
    <col min="9736" max="9975" width="9.140625" style="64"/>
    <col min="9976" max="9976" width="2" style="64" customWidth="1"/>
    <col min="9977" max="9978" width="9.140625" style="64"/>
    <col min="9979" max="9979" width="7.28515625" style="64" customWidth="1"/>
    <col min="9980" max="9980" width="2.85546875" style="64" customWidth="1"/>
    <col min="9981" max="9981" width="9.140625" style="64"/>
    <col min="9982" max="9982" width="10.5703125" style="64" customWidth="1"/>
    <col min="9983" max="9983" width="7.85546875" style="64" customWidth="1"/>
    <col min="9984" max="9984" width="2.85546875" style="64" customWidth="1"/>
    <col min="9985" max="9985" width="21" style="64" customWidth="1"/>
    <col min="9986" max="9986" width="23.5703125" style="64" customWidth="1"/>
    <col min="9987" max="9987" width="12.140625" style="64" customWidth="1"/>
    <col min="9988" max="9988" width="3.28515625" style="64" customWidth="1"/>
    <col min="9989" max="9989" width="26.85546875" style="64" customWidth="1"/>
    <col min="9990" max="9990" width="0" style="64" hidden="1" customWidth="1"/>
    <col min="9991" max="9991" width="2.140625" style="64" customWidth="1"/>
    <col min="9992" max="10231" width="9.140625" style="64"/>
    <col min="10232" max="10232" width="2" style="64" customWidth="1"/>
    <col min="10233" max="10234" width="9.140625" style="64"/>
    <col min="10235" max="10235" width="7.28515625" style="64" customWidth="1"/>
    <col min="10236" max="10236" width="2.85546875" style="64" customWidth="1"/>
    <col min="10237" max="10237" width="9.140625" style="64"/>
    <col min="10238" max="10238" width="10.5703125" style="64" customWidth="1"/>
    <col min="10239" max="10239" width="7.85546875" style="64" customWidth="1"/>
    <col min="10240" max="10240" width="2.85546875" style="64" customWidth="1"/>
    <col min="10241" max="10241" width="21" style="64" customWidth="1"/>
    <col min="10242" max="10242" width="23.5703125" style="64" customWidth="1"/>
    <col min="10243" max="10243" width="12.140625" style="64" customWidth="1"/>
    <col min="10244" max="10244" width="3.28515625" style="64" customWidth="1"/>
    <col min="10245" max="10245" width="26.85546875" style="64" customWidth="1"/>
    <col min="10246" max="10246" width="0" style="64" hidden="1" customWidth="1"/>
    <col min="10247" max="10247" width="2.140625" style="64" customWidth="1"/>
    <col min="10248" max="10487" width="9.140625" style="64"/>
    <col min="10488" max="10488" width="2" style="64" customWidth="1"/>
    <col min="10489" max="10490" width="9.140625" style="64"/>
    <col min="10491" max="10491" width="7.28515625" style="64" customWidth="1"/>
    <col min="10492" max="10492" width="2.85546875" style="64" customWidth="1"/>
    <col min="10493" max="10493" width="9.140625" style="64"/>
    <col min="10494" max="10494" width="10.5703125" style="64" customWidth="1"/>
    <col min="10495" max="10495" width="7.85546875" style="64" customWidth="1"/>
    <col min="10496" max="10496" width="2.85546875" style="64" customWidth="1"/>
    <col min="10497" max="10497" width="21" style="64" customWidth="1"/>
    <col min="10498" max="10498" width="23.5703125" style="64" customWidth="1"/>
    <col min="10499" max="10499" width="12.140625" style="64" customWidth="1"/>
    <col min="10500" max="10500" width="3.28515625" style="64" customWidth="1"/>
    <col min="10501" max="10501" width="26.85546875" style="64" customWidth="1"/>
    <col min="10502" max="10502" width="0" style="64" hidden="1" customWidth="1"/>
    <col min="10503" max="10503" width="2.140625" style="64" customWidth="1"/>
    <col min="10504" max="10743" width="9.140625" style="64"/>
    <col min="10744" max="10744" width="2" style="64" customWidth="1"/>
    <col min="10745" max="10746" width="9.140625" style="64"/>
    <col min="10747" max="10747" width="7.28515625" style="64" customWidth="1"/>
    <col min="10748" max="10748" width="2.85546875" style="64" customWidth="1"/>
    <col min="10749" max="10749" width="9.140625" style="64"/>
    <col min="10750" max="10750" width="10.5703125" style="64" customWidth="1"/>
    <col min="10751" max="10751" width="7.85546875" style="64" customWidth="1"/>
    <col min="10752" max="10752" width="2.85546875" style="64" customWidth="1"/>
    <col min="10753" max="10753" width="21" style="64" customWidth="1"/>
    <col min="10754" max="10754" width="23.5703125" style="64" customWidth="1"/>
    <col min="10755" max="10755" width="12.140625" style="64" customWidth="1"/>
    <col min="10756" max="10756" width="3.28515625" style="64" customWidth="1"/>
    <col min="10757" max="10757" width="26.85546875" style="64" customWidth="1"/>
    <col min="10758" max="10758" width="0" style="64" hidden="1" customWidth="1"/>
    <col min="10759" max="10759" width="2.140625" style="64" customWidth="1"/>
    <col min="10760" max="10999" width="9.140625" style="64"/>
    <col min="11000" max="11000" width="2" style="64" customWidth="1"/>
    <col min="11001" max="11002" width="9.140625" style="64"/>
    <col min="11003" max="11003" width="7.28515625" style="64" customWidth="1"/>
    <col min="11004" max="11004" width="2.85546875" style="64" customWidth="1"/>
    <col min="11005" max="11005" width="9.140625" style="64"/>
    <col min="11006" max="11006" width="10.5703125" style="64" customWidth="1"/>
    <col min="11007" max="11007" width="7.85546875" style="64" customWidth="1"/>
    <col min="11008" max="11008" width="2.85546875" style="64" customWidth="1"/>
    <col min="11009" max="11009" width="21" style="64" customWidth="1"/>
    <col min="11010" max="11010" width="23.5703125" style="64" customWidth="1"/>
    <col min="11011" max="11011" width="12.140625" style="64" customWidth="1"/>
    <col min="11012" max="11012" width="3.28515625" style="64" customWidth="1"/>
    <col min="11013" max="11013" width="26.85546875" style="64" customWidth="1"/>
    <col min="11014" max="11014" width="0" style="64" hidden="1" customWidth="1"/>
    <col min="11015" max="11015" width="2.140625" style="64" customWidth="1"/>
    <col min="11016" max="11255" width="9.140625" style="64"/>
    <col min="11256" max="11256" width="2" style="64" customWidth="1"/>
    <col min="11257" max="11258" width="9.140625" style="64"/>
    <col min="11259" max="11259" width="7.28515625" style="64" customWidth="1"/>
    <col min="11260" max="11260" width="2.85546875" style="64" customWidth="1"/>
    <col min="11261" max="11261" width="9.140625" style="64"/>
    <col min="11262" max="11262" width="10.5703125" style="64" customWidth="1"/>
    <col min="11263" max="11263" width="7.85546875" style="64" customWidth="1"/>
    <col min="11264" max="11264" width="2.85546875" style="64" customWidth="1"/>
    <col min="11265" max="11265" width="21" style="64" customWidth="1"/>
    <col min="11266" max="11266" width="23.5703125" style="64" customWidth="1"/>
    <col min="11267" max="11267" width="12.140625" style="64" customWidth="1"/>
    <col min="11268" max="11268" width="3.28515625" style="64" customWidth="1"/>
    <col min="11269" max="11269" width="26.85546875" style="64" customWidth="1"/>
    <col min="11270" max="11270" width="0" style="64" hidden="1" customWidth="1"/>
    <col min="11271" max="11271" width="2.140625" style="64" customWidth="1"/>
    <col min="11272" max="11511" width="9.140625" style="64"/>
    <col min="11512" max="11512" width="2" style="64" customWidth="1"/>
    <col min="11513" max="11514" width="9.140625" style="64"/>
    <col min="11515" max="11515" width="7.28515625" style="64" customWidth="1"/>
    <col min="11516" max="11516" width="2.85546875" style="64" customWidth="1"/>
    <col min="11517" max="11517" width="9.140625" style="64"/>
    <col min="11518" max="11518" width="10.5703125" style="64" customWidth="1"/>
    <col min="11519" max="11519" width="7.85546875" style="64" customWidth="1"/>
    <col min="11520" max="11520" width="2.85546875" style="64" customWidth="1"/>
    <col min="11521" max="11521" width="21" style="64" customWidth="1"/>
    <col min="11522" max="11522" width="23.5703125" style="64" customWidth="1"/>
    <col min="11523" max="11523" width="12.140625" style="64" customWidth="1"/>
    <col min="11524" max="11524" width="3.28515625" style="64" customWidth="1"/>
    <col min="11525" max="11525" width="26.85546875" style="64" customWidth="1"/>
    <col min="11526" max="11526" width="0" style="64" hidden="1" customWidth="1"/>
    <col min="11527" max="11527" width="2.140625" style="64" customWidth="1"/>
    <col min="11528" max="11767" width="9.140625" style="64"/>
    <col min="11768" max="11768" width="2" style="64" customWidth="1"/>
    <col min="11769" max="11770" width="9.140625" style="64"/>
    <col min="11771" max="11771" width="7.28515625" style="64" customWidth="1"/>
    <col min="11772" max="11772" width="2.85546875" style="64" customWidth="1"/>
    <col min="11773" max="11773" width="9.140625" style="64"/>
    <col min="11774" max="11774" width="10.5703125" style="64" customWidth="1"/>
    <col min="11775" max="11775" width="7.85546875" style="64" customWidth="1"/>
    <col min="11776" max="11776" width="2.85546875" style="64" customWidth="1"/>
    <col min="11777" max="11777" width="21" style="64" customWidth="1"/>
    <col min="11778" max="11778" width="23.5703125" style="64" customWidth="1"/>
    <col min="11779" max="11779" width="12.140625" style="64" customWidth="1"/>
    <col min="11780" max="11780" width="3.28515625" style="64" customWidth="1"/>
    <col min="11781" max="11781" width="26.85546875" style="64" customWidth="1"/>
    <col min="11782" max="11782" width="0" style="64" hidden="1" customWidth="1"/>
    <col min="11783" max="11783" width="2.140625" style="64" customWidth="1"/>
    <col min="11784" max="12023" width="9.140625" style="64"/>
    <col min="12024" max="12024" width="2" style="64" customWidth="1"/>
    <col min="12025" max="12026" width="9.140625" style="64"/>
    <col min="12027" max="12027" width="7.28515625" style="64" customWidth="1"/>
    <col min="12028" max="12028" width="2.85546875" style="64" customWidth="1"/>
    <col min="12029" max="12029" width="9.140625" style="64"/>
    <col min="12030" max="12030" width="10.5703125" style="64" customWidth="1"/>
    <col min="12031" max="12031" width="7.85546875" style="64" customWidth="1"/>
    <col min="12032" max="12032" width="2.85546875" style="64" customWidth="1"/>
    <col min="12033" max="12033" width="21" style="64" customWidth="1"/>
    <col min="12034" max="12034" width="23.5703125" style="64" customWidth="1"/>
    <col min="12035" max="12035" width="12.140625" style="64" customWidth="1"/>
    <col min="12036" max="12036" width="3.28515625" style="64" customWidth="1"/>
    <col min="12037" max="12037" width="26.85546875" style="64" customWidth="1"/>
    <col min="12038" max="12038" width="0" style="64" hidden="1" customWidth="1"/>
    <col min="12039" max="12039" width="2.140625" style="64" customWidth="1"/>
    <col min="12040" max="12279" width="9.140625" style="64"/>
    <col min="12280" max="12280" width="2" style="64" customWidth="1"/>
    <col min="12281" max="12282" width="9.140625" style="64"/>
    <col min="12283" max="12283" width="7.28515625" style="64" customWidth="1"/>
    <col min="12284" max="12284" width="2.85546875" style="64" customWidth="1"/>
    <col min="12285" max="12285" width="9.140625" style="64"/>
    <col min="12286" max="12286" width="10.5703125" style="64" customWidth="1"/>
    <col min="12287" max="12287" width="7.85546875" style="64" customWidth="1"/>
    <col min="12288" max="12288" width="2.85546875" style="64" customWidth="1"/>
    <col min="12289" max="12289" width="21" style="64" customWidth="1"/>
    <col min="12290" max="12290" width="23.5703125" style="64" customWidth="1"/>
    <col min="12291" max="12291" width="12.140625" style="64" customWidth="1"/>
    <col min="12292" max="12292" width="3.28515625" style="64" customWidth="1"/>
    <col min="12293" max="12293" width="26.85546875" style="64" customWidth="1"/>
    <col min="12294" max="12294" width="0" style="64" hidden="1" customWidth="1"/>
    <col min="12295" max="12295" width="2.140625" style="64" customWidth="1"/>
    <col min="12296" max="12535" width="9.140625" style="64"/>
    <col min="12536" max="12536" width="2" style="64" customWidth="1"/>
    <col min="12537" max="12538" width="9.140625" style="64"/>
    <col min="12539" max="12539" width="7.28515625" style="64" customWidth="1"/>
    <col min="12540" max="12540" width="2.85546875" style="64" customWidth="1"/>
    <col min="12541" max="12541" width="9.140625" style="64"/>
    <col min="12542" max="12542" width="10.5703125" style="64" customWidth="1"/>
    <col min="12543" max="12543" width="7.85546875" style="64" customWidth="1"/>
    <col min="12544" max="12544" width="2.85546875" style="64" customWidth="1"/>
    <col min="12545" max="12545" width="21" style="64" customWidth="1"/>
    <col min="12546" max="12546" width="23.5703125" style="64" customWidth="1"/>
    <col min="12547" max="12547" width="12.140625" style="64" customWidth="1"/>
    <col min="12548" max="12548" width="3.28515625" style="64" customWidth="1"/>
    <col min="12549" max="12549" width="26.85546875" style="64" customWidth="1"/>
    <col min="12550" max="12550" width="0" style="64" hidden="1" customWidth="1"/>
    <col min="12551" max="12551" width="2.140625" style="64" customWidth="1"/>
    <col min="12552" max="12791" width="9.140625" style="64"/>
    <col min="12792" max="12792" width="2" style="64" customWidth="1"/>
    <col min="12793" max="12794" width="9.140625" style="64"/>
    <col min="12795" max="12795" width="7.28515625" style="64" customWidth="1"/>
    <col min="12796" max="12796" width="2.85546875" style="64" customWidth="1"/>
    <col min="12797" max="12797" width="9.140625" style="64"/>
    <col min="12798" max="12798" width="10.5703125" style="64" customWidth="1"/>
    <col min="12799" max="12799" width="7.85546875" style="64" customWidth="1"/>
    <col min="12800" max="12800" width="2.85546875" style="64" customWidth="1"/>
    <col min="12801" max="12801" width="21" style="64" customWidth="1"/>
    <col min="12802" max="12802" width="23.5703125" style="64" customWidth="1"/>
    <col min="12803" max="12803" width="12.140625" style="64" customWidth="1"/>
    <col min="12804" max="12804" width="3.28515625" style="64" customWidth="1"/>
    <col min="12805" max="12805" width="26.85546875" style="64" customWidth="1"/>
    <col min="12806" max="12806" width="0" style="64" hidden="1" customWidth="1"/>
    <col min="12807" max="12807" width="2.140625" style="64" customWidth="1"/>
    <col min="12808" max="13047" width="9.140625" style="64"/>
    <col min="13048" max="13048" width="2" style="64" customWidth="1"/>
    <col min="13049" max="13050" width="9.140625" style="64"/>
    <col min="13051" max="13051" width="7.28515625" style="64" customWidth="1"/>
    <col min="13052" max="13052" width="2.85546875" style="64" customWidth="1"/>
    <col min="13053" max="13053" width="9.140625" style="64"/>
    <col min="13054" max="13054" width="10.5703125" style="64" customWidth="1"/>
    <col min="13055" max="13055" width="7.85546875" style="64" customWidth="1"/>
    <col min="13056" max="13056" width="2.85546875" style="64" customWidth="1"/>
    <col min="13057" max="13057" width="21" style="64" customWidth="1"/>
    <col min="13058" max="13058" width="23.5703125" style="64" customWidth="1"/>
    <col min="13059" max="13059" width="12.140625" style="64" customWidth="1"/>
    <col min="13060" max="13060" width="3.28515625" style="64" customWidth="1"/>
    <col min="13061" max="13061" width="26.85546875" style="64" customWidth="1"/>
    <col min="13062" max="13062" width="0" style="64" hidden="1" customWidth="1"/>
    <col min="13063" max="13063" width="2.140625" style="64" customWidth="1"/>
    <col min="13064" max="13303" width="9.140625" style="64"/>
    <col min="13304" max="13304" width="2" style="64" customWidth="1"/>
    <col min="13305" max="13306" width="9.140625" style="64"/>
    <col min="13307" max="13307" width="7.28515625" style="64" customWidth="1"/>
    <col min="13308" max="13308" width="2.85546875" style="64" customWidth="1"/>
    <col min="13309" max="13309" width="9.140625" style="64"/>
    <col min="13310" max="13310" width="10.5703125" style="64" customWidth="1"/>
    <col min="13311" max="13311" width="7.85546875" style="64" customWidth="1"/>
    <col min="13312" max="13312" width="2.85546875" style="64" customWidth="1"/>
    <col min="13313" max="13313" width="21" style="64" customWidth="1"/>
    <col min="13314" max="13314" width="23.5703125" style="64" customWidth="1"/>
    <col min="13315" max="13315" width="12.140625" style="64" customWidth="1"/>
    <col min="13316" max="13316" width="3.28515625" style="64" customWidth="1"/>
    <col min="13317" max="13317" width="26.85546875" style="64" customWidth="1"/>
    <col min="13318" max="13318" width="0" style="64" hidden="1" customWidth="1"/>
    <col min="13319" max="13319" width="2.140625" style="64" customWidth="1"/>
    <col min="13320" max="13559" width="9.140625" style="64"/>
    <col min="13560" max="13560" width="2" style="64" customWidth="1"/>
    <col min="13561" max="13562" width="9.140625" style="64"/>
    <col min="13563" max="13563" width="7.28515625" style="64" customWidth="1"/>
    <col min="13564" max="13564" width="2.85546875" style="64" customWidth="1"/>
    <col min="13565" max="13565" width="9.140625" style="64"/>
    <col min="13566" max="13566" width="10.5703125" style="64" customWidth="1"/>
    <col min="13567" max="13567" width="7.85546875" style="64" customWidth="1"/>
    <col min="13568" max="13568" width="2.85546875" style="64" customWidth="1"/>
    <col min="13569" max="13569" width="21" style="64" customWidth="1"/>
    <col min="13570" max="13570" width="23.5703125" style="64" customWidth="1"/>
    <col min="13571" max="13571" width="12.140625" style="64" customWidth="1"/>
    <col min="13572" max="13572" width="3.28515625" style="64" customWidth="1"/>
    <col min="13573" max="13573" width="26.85546875" style="64" customWidth="1"/>
    <col min="13574" max="13574" width="0" style="64" hidden="1" customWidth="1"/>
    <col min="13575" max="13575" width="2.140625" style="64" customWidth="1"/>
    <col min="13576" max="13815" width="9.140625" style="64"/>
    <col min="13816" max="13816" width="2" style="64" customWidth="1"/>
    <col min="13817" max="13818" width="9.140625" style="64"/>
    <col min="13819" max="13819" width="7.28515625" style="64" customWidth="1"/>
    <col min="13820" max="13820" width="2.85546875" style="64" customWidth="1"/>
    <col min="13821" max="13821" width="9.140625" style="64"/>
    <col min="13822" max="13822" width="10.5703125" style="64" customWidth="1"/>
    <col min="13823" max="13823" width="7.85546875" style="64" customWidth="1"/>
    <col min="13824" max="13824" width="2.85546875" style="64" customWidth="1"/>
    <col min="13825" max="13825" width="21" style="64" customWidth="1"/>
    <col min="13826" max="13826" width="23.5703125" style="64" customWidth="1"/>
    <col min="13827" max="13827" width="12.140625" style="64" customWidth="1"/>
    <col min="13828" max="13828" width="3.28515625" style="64" customWidth="1"/>
    <col min="13829" max="13829" width="26.85546875" style="64" customWidth="1"/>
    <col min="13830" max="13830" width="0" style="64" hidden="1" customWidth="1"/>
    <col min="13831" max="13831" width="2.140625" style="64" customWidth="1"/>
    <col min="13832" max="14071" width="9.140625" style="64"/>
    <col min="14072" max="14072" width="2" style="64" customWidth="1"/>
    <col min="14073" max="14074" width="9.140625" style="64"/>
    <col min="14075" max="14075" width="7.28515625" style="64" customWidth="1"/>
    <col min="14076" max="14076" width="2.85546875" style="64" customWidth="1"/>
    <col min="14077" max="14077" width="9.140625" style="64"/>
    <col min="14078" max="14078" width="10.5703125" style="64" customWidth="1"/>
    <col min="14079" max="14079" width="7.85546875" style="64" customWidth="1"/>
    <col min="14080" max="14080" width="2.85546875" style="64" customWidth="1"/>
    <col min="14081" max="14081" width="21" style="64" customWidth="1"/>
    <col min="14082" max="14082" width="23.5703125" style="64" customWidth="1"/>
    <col min="14083" max="14083" width="12.140625" style="64" customWidth="1"/>
    <col min="14084" max="14084" width="3.28515625" style="64" customWidth="1"/>
    <col min="14085" max="14085" width="26.85546875" style="64" customWidth="1"/>
    <col min="14086" max="14086" width="0" style="64" hidden="1" customWidth="1"/>
    <col min="14087" max="14087" width="2.140625" style="64" customWidth="1"/>
    <col min="14088" max="14327" width="9.140625" style="64"/>
    <col min="14328" max="14328" width="2" style="64" customWidth="1"/>
    <col min="14329" max="14330" width="9.140625" style="64"/>
    <col min="14331" max="14331" width="7.28515625" style="64" customWidth="1"/>
    <col min="14332" max="14332" width="2.85546875" style="64" customWidth="1"/>
    <col min="14333" max="14333" width="9.140625" style="64"/>
    <col min="14334" max="14334" width="10.5703125" style="64" customWidth="1"/>
    <col min="14335" max="14335" width="7.85546875" style="64" customWidth="1"/>
    <col min="14336" max="14336" width="2.85546875" style="64" customWidth="1"/>
    <col min="14337" max="14337" width="21" style="64" customWidth="1"/>
    <col min="14338" max="14338" width="23.5703125" style="64" customWidth="1"/>
    <col min="14339" max="14339" width="12.140625" style="64" customWidth="1"/>
    <col min="14340" max="14340" width="3.28515625" style="64" customWidth="1"/>
    <col min="14341" max="14341" width="26.85546875" style="64" customWidth="1"/>
    <col min="14342" max="14342" width="0" style="64" hidden="1" customWidth="1"/>
    <col min="14343" max="14343" width="2.140625" style="64" customWidth="1"/>
    <col min="14344" max="14583" width="9.140625" style="64"/>
    <col min="14584" max="14584" width="2" style="64" customWidth="1"/>
    <col min="14585" max="14586" width="9.140625" style="64"/>
    <col min="14587" max="14587" width="7.28515625" style="64" customWidth="1"/>
    <col min="14588" max="14588" width="2.85546875" style="64" customWidth="1"/>
    <col min="14589" max="14589" width="9.140625" style="64"/>
    <col min="14590" max="14590" width="10.5703125" style="64" customWidth="1"/>
    <col min="14591" max="14591" width="7.85546875" style="64" customWidth="1"/>
    <col min="14592" max="14592" width="2.85546875" style="64" customWidth="1"/>
    <col min="14593" max="14593" width="21" style="64" customWidth="1"/>
    <col min="14594" max="14594" width="23.5703125" style="64" customWidth="1"/>
    <col min="14595" max="14595" width="12.140625" style="64" customWidth="1"/>
    <col min="14596" max="14596" width="3.28515625" style="64" customWidth="1"/>
    <col min="14597" max="14597" width="26.85546875" style="64" customWidth="1"/>
    <col min="14598" max="14598" width="0" style="64" hidden="1" customWidth="1"/>
    <col min="14599" max="14599" width="2.140625" style="64" customWidth="1"/>
    <col min="14600" max="14839" width="9.140625" style="64"/>
    <col min="14840" max="14840" width="2" style="64" customWidth="1"/>
    <col min="14841" max="14842" width="9.140625" style="64"/>
    <col min="14843" max="14843" width="7.28515625" style="64" customWidth="1"/>
    <col min="14844" max="14844" width="2.85546875" style="64" customWidth="1"/>
    <col min="14845" max="14845" width="9.140625" style="64"/>
    <col min="14846" max="14846" width="10.5703125" style="64" customWidth="1"/>
    <col min="14847" max="14847" width="7.85546875" style="64" customWidth="1"/>
    <col min="14848" max="14848" width="2.85546875" style="64" customWidth="1"/>
    <col min="14849" max="14849" width="21" style="64" customWidth="1"/>
    <col min="14850" max="14850" width="23.5703125" style="64" customWidth="1"/>
    <col min="14851" max="14851" width="12.140625" style="64" customWidth="1"/>
    <col min="14852" max="14852" width="3.28515625" style="64" customWidth="1"/>
    <col min="14853" max="14853" width="26.85546875" style="64" customWidth="1"/>
    <col min="14854" max="14854" width="0" style="64" hidden="1" customWidth="1"/>
    <col min="14855" max="14855" width="2.140625" style="64" customWidth="1"/>
    <col min="14856" max="15095" width="9.140625" style="64"/>
    <col min="15096" max="15096" width="2" style="64" customWidth="1"/>
    <col min="15097" max="15098" width="9.140625" style="64"/>
    <col min="15099" max="15099" width="7.28515625" style="64" customWidth="1"/>
    <col min="15100" max="15100" width="2.85546875" style="64" customWidth="1"/>
    <col min="15101" max="15101" width="9.140625" style="64"/>
    <col min="15102" max="15102" width="10.5703125" style="64" customWidth="1"/>
    <col min="15103" max="15103" width="7.85546875" style="64" customWidth="1"/>
    <col min="15104" max="15104" width="2.85546875" style="64" customWidth="1"/>
    <col min="15105" max="15105" width="21" style="64" customWidth="1"/>
    <col min="15106" max="15106" width="23.5703125" style="64" customWidth="1"/>
    <col min="15107" max="15107" width="12.140625" style="64" customWidth="1"/>
    <col min="15108" max="15108" width="3.28515625" style="64" customWidth="1"/>
    <col min="15109" max="15109" width="26.85546875" style="64" customWidth="1"/>
    <col min="15110" max="15110" width="0" style="64" hidden="1" customWidth="1"/>
    <col min="15111" max="15111" width="2.140625" style="64" customWidth="1"/>
    <col min="15112" max="15351" width="9.140625" style="64"/>
    <col min="15352" max="15352" width="2" style="64" customWidth="1"/>
    <col min="15353" max="15354" width="9.140625" style="64"/>
    <col min="15355" max="15355" width="7.28515625" style="64" customWidth="1"/>
    <col min="15356" max="15356" width="2.85546875" style="64" customWidth="1"/>
    <col min="15357" max="15357" width="9.140625" style="64"/>
    <col min="15358" max="15358" width="10.5703125" style="64" customWidth="1"/>
    <col min="15359" max="15359" width="7.85546875" style="64" customWidth="1"/>
    <col min="15360" max="15360" width="2.85546875" style="64" customWidth="1"/>
    <col min="15361" max="15361" width="21" style="64" customWidth="1"/>
    <col min="15362" max="15362" width="23.5703125" style="64" customWidth="1"/>
    <col min="15363" max="15363" width="12.140625" style="64" customWidth="1"/>
    <col min="15364" max="15364" width="3.28515625" style="64" customWidth="1"/>
    <col min="15365" max="15365" width="26.85546875" style="64" customWidth="1"/>
    <col min="15366" max="15366" width="0" style="64" hidden="1" customWidth="1"/>
    <col min="15367" max="15367" width="2.140625" style="64" customWidth="1"/>
    <col min="15368" max="15607" width="9.140625" style="64"/>
    <col min="15608" max="15608" width="2" style="64" customWidth="1"/>
    <col min="15609" max="15610" width="9.140625" style="64"/>
    <col min="15611" max="15611" width="7.28515625" style="64" customWidth="1"/>
    <col min="15612" max="15612" width="2.85546875" style="64" customWidth="1"/>
    <col min="15613" max="15613" width="9.140625" style="64"/>
    <col min="15614" max="15614" width="10.5703125" style="64" customWidth="1"/>
    <col min="15615" max="15615" width="7.85546875" style="64" customWidth="1"/>
    <col min="15616" max="15616" width="2.85546875" style="64" customWidth="1"/>
    <col min="15617" max="15617" width="21" style="64" customWidth="1"/>
    <col min="15618" max="15618" width="23.5703125" style="64" customWidth="1"/>
    <col min="15619" max="15619" width="12.140625" style="64" customWidth="1"/>
    <col min="15620" max="15620" width="3.28515625" style="64" customWidth="1"/>
    <col min="15621" max="15621" width="26.85546875" style="64" customWidth="1"/>
    <col min="15622" max="15622" width="0" style="64" hidden="1" customWidth="1"/>
    <col min="15623" max="15623" width="2.140625" style="64" customWidth="1"/>
    <col min="15624" max="15863" width="9.140625" style="64"/>
    <col min="15864" max="15864" width="2" style="64" customWidth="1"/>
    <col min="15865" max="15866" width="9.140625" style="64"/>
    <col min="15867" max="15867" width="7.28515625" style="64" customWidth="1"/>
    <col min="15868" max="15868" width="2.85546875" style="64" customWidth="1"/>
    <col min="15869" max="15869" width="9.140625" style="64"/>
    <col min="15870" max="15870" width="10.5703125" style="64" customWidth="1"/>
    <col min="15871" max="15871" width="7.85546875" style="64" customWidth="1"/>
    <col min="15872" max="15872" width="2.85546875" style="64" customWidth="1"/>
    <col min="15873" max="15873" width="21" style="64" customWidth="1"/>
    <col min="15874" max="15874" width="23.5703125" style="64" customWidth="1"/>
    <col min="15875" max="15875" width="12.140625" style="64" customWidth="1"/>
    <col min="15876" max="15876" width="3.28515625" style="64" customWidth="1"/>
    <col min="15877" max="15877" width="26.85546875" style="64" customWidth="1"/>
    <col min="15878" max="15878" width="0" style="64" hidden="1" customWidth="1"/>
    <col min="15879" max="15879" width="2.140625" style="64" customWidth="1"/>
    <col min="15880" max="16119" width="9.140625" style="64"/>
    <col min="16120" max="16120" width="2" style="64" customWidth="1"/>
    <col min="16121" max="16122" width="9.140625" style="64"/>
    <col min="16123" max="16123" width="7.28515625" style="64" customWidth="1"/>
    <col min="16124" max="16124" width="2.85546875" style="64" customWidth="1"/>
    <col min="16125" max="16125" width="9.140625" style="64"/>
    <col min="16126" max="16126" width="10.5703125" style="64" customWidth="1"/>
    <col min="16127" max="16127" width="7.85546875" style="64" customWidth="1"/>
    <col min="16128" max="16128" width="2.85546875" style="64" customWidth="1"/>
    <col min="16129" max="16129" width="21" style="64" customWidth="1"/>
    <col min="16130" max="16130" width="23.5703125" style="64" customWidth="1"/>
    <col min="16131" max="16131" width="12.140625" style="64" customWidth="1"/>
    <col min="16132" max="16132" width="3.28515625" style="64" customWidth="1"/>
    <col min="16133" max="16133" width="26.85546875" style="64" customWidth="1"/>
    <col min="16134" max="16134" width="0" style="64" hidden="1" customWidth="1"/>
    <col min="16135" max="16135" width="2.140625" style="64" customWidth="1"/>
    <col min="16136" max="16384" width="9.140625" style="64"/>
  </cols>
  <sheetData>
    <row r="3" spans="1:13" ht="13.5" thickBot="1" x14ac:dyDescent="0.25"/>
    <row r="4" spans="1:13" ht="15.75" customHeight="1" thickTop="1" x14ac:dyDescent="0.2">
      <c r="C4" s="77"/>
      <c r="D4" s="77"/>
      <c r="E4" s="141" t="s">
        <v>265</v>
      </c>
      <c r="F4" s="142"/>
      <c r="G4" s="142"/>
      <c r="H4" s="143"/>
    </row>
    <row r="5" spans="1:13" ht="15" customHeight="1" x14ac:dyDescent="0.2">
      <c r="C5" s="77"/>
      <c r="D5" s="77"/>
      <c r="E5" s="144"/>
      <c r="F5" s="145"/>
      <c r="G5" s="145"/>
      <c r="H5" s="146"/>
    </row>
    <row r="6" spans="1:13" ht="15" customHeight="1" thickBot="1" x14ac:dyDescent="0.25">
      <c r="C6" s="77"/>
      <c r="D6" s="77"/>
      <c r="E6" s="147"/>
      <c r="F6" s="148"/>
      <c r="G6" s="148"/>
      <c r="H6" s="149"/>
    </row>
    <row r="7" spans="1:13" ht="13.5" thickTop="1" x14ac:dyDescent="0.2"/>
    <row r="14" spans="1:13" x14ac:dyDescent="0.2">
      <c r="B14" s="64" t="s">
        <v>196</v>
      </c>
      <c r="G14" s="65"/>
    </row>
    <row r="15" spans="1:13" ht="13.5" thickBot="1" x14ac:dyDescent="0.25">
      <c r="G15" s="65"/>
    </row>
    <row r="16" spans="1:13" ht="15.75" customHeight="1" thickTop="1" x14ac:dyDescent="0.2">
      <c r="A16" s="78"/>
      <c r="B16" s="124"/>
      <c r="C16" s="125"/>
      <c r="D16" s="126"/>
      <c r="E16" s="78"/>
      <c r="F16" s="79"/>
      <c r="G16" s="69"/>
      <c r="H16" s="80"/>
      <c r="I16" s="81"/>
      <c r="J16" s="72"/>
      <c r="K16" s="79"/>
      <c r="L16" s="78"/>
      <c r="M16" s="79"/>
    </row>
    <row r="17" spans="1:13" x14ac:dyDescent="0.2">
      <c r="A17" s="78"/>
      <c r="B17" s="127" t="s">
        <v>105</v>
      </c>
      <c r="C17" s="128"/>
      <c r="D17" s="129"/>
      <c r="E17" s="78"/>
      <c r="F17" s="85" t="s">
        <v>269</v>
      </c>
      <c r="G17" s="70"/>
      <c r="H17" s="82" t="s">
        <v>276</v>
      </c>
      <c r="I17" s="84"/>
      <c r="J17" s="72"/>
      <c r="K17" s="85" t="s">
        <v>280</v>
      </c>
      <c r="L17" s="78"/>
      <c r="M17" s="85" t="s">
        <v>281</v>
      </c>
    </row>
    <row r="18" spans="1:13" ht="15" customHeight="1" x14ac:dyDescent="0.2">
      <c r="A18" s="78"/>
      <c r="B18" s="72"/>
      <c r="C18" s="84"/>
      <c r="D18" s="86"/>
      <c r="E18" s="78"/>
      <c r="F18" s="83"/>
      <c r="G18" s="78"/>
      <c r="H18" s="72"/>
      <c r="I18" s="84"/>
      <c r="J18" s="72"/>
      <c r="K18" s="83"/>
      <c r="L18" s="78"/>
      <c r="M18" s="83"/>
    </row>
    <row r="19" spans="1:13" ht="25.5" x14ac:dyDescent="0.2">
      <c r="A19" s="78"/>
      <c r="B19" s="130" t="s">
        <v>216</v>
      </c>
      <c r="C19" s="131"/>
      <c r="D19" s="132"/>
      <c r="E19" s="78"/>
      <c r="F19" s="90" t="s">
        <v>270</v>
      </c>
      <c r="G19" s="78"/>
      <c r="H19" s="90" t="s">
        <v>277</v>
      </c>
      <c r="I19" s="89"/>
      <c r="J19" s="73"/>
      <c r="K19" s="90" t="s">
        <v>282</v>
      </c>
      <c r="L19" s="78"/>
      <c r="M19" s="90" t="s">
        <v>282</v>
      </c>
    </row>
    <row r="20" spans="1:13" ht="15" customHeight="1" thickBot="1" x14ac:dyDescent="0.25">
      <c r="A20" s="78"/>
      <c r="B20" s="102"/>
      <c r="C20" s="103"/>
      <c r="D20" s="104"/>
      <c r="E20" s="78"/>
      <c r="F20" s="85"/>
      <c r="G20" s="78"/>
      <c r="H20" s="88"/>
      <c r="I20" s="91"/>
      <c r="J20" s="82"/>
      <c r="K20" s="110"/>
      <c r="L20" s="78"/>
      <c r="M20" s="85"/>
    </row>
    <row r="21" spans="1:13" ht="12.75" customHeight="1" thickTop="1" x14ac:dyDescent="0.2">
      <c r="A21" s="78"/>
      <c r="B21" s="101"/>
      <c r="C21" s="101"/>
      <c r="D21" s="101"/>
      <c r="E21" s="78"/>
      <c r="F21" s="87" t="s">
        <v>271</v>
      </c>
      <c r="G21" s="78"/>
      <c r="H21" s="87" t="s">
        <v>278</v>
      </c>
      <c r="I21" s="96"/>
      <c r="J21" s="93"/>
      <c r="K21" s="78"/>
      <c r="L21" s="78"/>
      <c r="M21" s="87" t="s">
        <v>283</v>
      </c>
    </row>
    <row r="22" spans="1:13" x14ac:dyDescent="0.2">
      <c r="A22" s="78"/>
      <c r="B22" s="70"/>
      <c r="C22" s="70"/>
      <c r="D22" s="70"/>
      <c r="E22" s="78"/>
      <c r="F22" s="87" t="s">
        <v>272</v>
      </c>
      <c r="G22" s="78"/>
      <c r="H22" s="87" t="s">
        <v>279</v>
      </c>
      <c r="I22" s="96"/>
      <c r="J22" s="96"/>
      <c r="K22" s="78"/>
      <c r="L22" s="78"/>
      <c r="M22" s="87" t="s">
        <v>284</v>
      </c>
    </row>
    <row r="23" spans="1:13" ht="13.5" thickBot="1" x14ac:dyDescent="0.25">
      <c r="A23" s="78"/>
      <c r="B23" s="67"/>
      <c r="C23" s="67"/>
      <c r="D23" s="67"/>
      <c r="E23" s="78"/>
      <c r="F23" s="87" t="s">
        <v>273</v>
      </c>
      <c r="G23" s="78"/>
      <c r="H23" s="97"/>
      <c r="I23" s="96"/>
      <c r="J23" s="96"/>
      <c r="K23" s="71"/>
      <c r="L23" s="78"/>
      <c r="M23" s="87" t="s">
        <v>285</v>
      </c>
    </row>
    <row r="24" spans="1:13" ht="14.25" thickTop="1" thickBot="1" x14ac:dyDescent="0.25">
      <c r="A24" s="78"/>
      <c r="B24" s="67"/>
      <c r="C24" s="67"/>
      <c r="D24" s="67"/>
      <c r="E24" s="78"/>
      <c r="F24" s="87" t="s">
        <v>274</v>
      </c>
      <c r="G24" s="78"/>
      <c r="H24" s="106"/>
      <c r="I24" s="96"/>
      <c r="J24" s="96"/>
      <c r="K24" s="78"/>
      <c r="L24" s="78"/>
      <c r="M24" s="97"/>
    </row>
    <row r="25" spans="1:13" ht="13.5" thickTop="1" x14ac:dyDescent="0.2">
      <c r="A25" s="78"/>
      <c r="B25" s="67"/>
      <c r="C25" s="67"/>
      <c r="D25" s="67"/>
      <c r="E25" s="78"/>
      <c r="F25" s="87" t="s">
        <v>275</v>
      </c>
      <c r="G25" s="78"/>
      <c r="I25" s="96"/>
      <c r="J25" s="96"/>
      <c r="K25" s="78"/>
      <c r="L25" s="78"/>
    </row>
    <row r="26" spans="1:13" ht="12.75" customHeight="1" thickBot="1" x14ac:dyDescent="0.25">
      <c r="A26" s="78"/>
      <c r="B26" s="67"/>
      <c r="C26" s="67"/>
      <c r="D26" s="67"/>
      <c r="E26" s="78"/>
      <c r="F26" s="97"/>
      <c r="G26" s="78"/>
      <c r="I26" s="96"/>
      <c r="J26" s="96"/>
      <c r="K26" s="78"/>
      <c r="L26" s="78"/>
    </row>
    <row r="27" spans="1:13" ht="12.75" customHeight="1" thickTop="1" x14ac:dyDescent="0.2">
      <c r="A27" s="78"/>
      <c r="B27" s="67"/>
      <c r="C27" s="67"/>
      <c r="D27" s="67"/>
      <c r="E27" s="78"/>
      <c r="F27" s="78"/>
      <c r="G27" s="71"/>
      <c r="I27" s="96"/>
      <c r="J27" s="96"/>
      <c r="L27" s="78"/>
    </row>
    <row r="28" spans="1:13" ht="13.5" thickBot="1" x14ac:dyDescent="0.25">
      <c r="A28" s="78"/>
      <c r="E28" s="78"/>
      <c r="F28" s="78"/>
      <c r="G28" s="70"/>
      <c r="I28" s="103"/>
      <c r="J28" s="70"/>
      <c r="L28" s="78"/>
    </row>
    <row r="29" spans="1:13" ht="13.5" thickTop="1" x14ac:dyDescent="0.2">
      <c r="A29" s="78"/>
      <c r="E29" s="78"/>
      <c r="F29" s="78"/>
      <c r="G29" s="71"/>
      <c r="L29" s="78"/>
    </row>
    <row r="30" spans="1:13" x14ac:dyDescent="0.2">
      <c r="A30" s="78"/>
      <c r="E30" s="78"/>
      <c r="G30" s="71"/>
      <c r="L30" s="78"/>
    </row>
    <row r="31" spans="1:13" x14ac:dyDescent="0.2">
      <c r="G31" s="66"/>
      <c r="H31" s="67"/>
    </row>
    <row r="32" spans="1:13" x14ac:dyDescent="0.2">
      <c r="G32" s="66"/>
      <c r="H32" s="67"/>
    </row>
    <row r="33" spans="7:8" x14ac:dyDescent="0.2">
      <c r="G33" s="66"/>
      <c r="H33" s="67"/>
    </row>
    <row r="34" spans="7:8" x14ac:dyDescent="0.2">
      <c r="G34" s="65"/>
      <c r="H34" s="66"/>
    </row>
    <row r="35" spans="7:8" x14ac:dyDescent="0.2">
      <c r="G35" s="65"/>
      <c r="H35" s="66"/>
    </row>
    <row r="36" spans="7:8" x14ac:dyDescent="0.2">
      <c r="G36" s="65"/>
      <c r="H36" s="66"/>
    </row>
    <row r="37" spans="7:8" x14ac:dyDescent="0.2">
      <c r="H37" s="68"/>
    </row>
    <row r="38" spans="7:8" x14ac:dyDescent="0.2">
      <c r="H38" s="66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H302"/>
  <sheetViews>
    <sheetView topLeftCell="A31" workbookViewId="0">
      <selection activeCell="C50" sqref="C50"/>
    </sheetView>
  </sheetViews>
  <sheetFormatPr defaultRowHeight="12.75" x14ac:dyDescent="0.2"/>
  <cols>
    <col min="1" max="1" width="24.7109375" style="1" customWidth="1"/>
    <col min="2" max="2" width="18.7109375" style="1" customWidth="1"/>
    <col min="3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23" t="s">
        <v>105</v>
      </c>
      <c r="C2" s="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68455.06</v>
      </c>
      <c r="C9" s="24">
        <v>68152.759999999995</v>
      </c>
      <c r="D9" s="24">
        <f>SUM(B9:C9)</f>
        <v>136607.82</v>
      </c>
      <c r="E9" s="40"/>
      <c r="F9" s="24">
        <v>118579.7</v>
      </c>
      <c r="G9" s="6"/>
    </row>
    <row r="10" spans="1:8" x14ac:dyDescent="0.2">
      <c r="A10" s="23" t="s">
        <v>34</v>
      </c>
      <c r="B10" s="24">
        <v>22024.15</v>
      </c>
      <c r="C10" s="24">
        <v>21083.57</v>
      </c>
      <c r="D10" s="24">
        <f>SUM(B10:C10)</f>
        <v>43107.72</v>
      </c>
      <c r="E10" s="40"/>
      <c r="F10" s="24">
        <v>38267.919999999998</v>
      </c>
      <c r="G10" s="6"/>
    </row>
    <row r="11" spans="1:8" x14ac:dyDescent="0.2">
      <c r="A11" s="23" t="s">
        <v>97</v>
      </c>
      <c r="B11" s="24">
        <v>58360.83</v>
      </c>
      <c r="C11" s="24">
        <v>64647.040000000001</v>
      </c>
      <c r="D11" s="24">
        <f t="shared" ref="D11:D14" si="0">SUM(B11:C11)</f>
        <v>123007.87</v>
      </c>
      <c r="E11" s="40"/>
      <c r="F11" s="24">
        <f>102958.24+29093.77</f>
        <v>132052.01</v>
      </c>
      <c r="G11" s="6"/>
    </row>
    <row r="12" spans="1:8" x14ac:dyDescent="0.2">
      <c r="A12" s="23" t="s">
        <v>96</v>
      </c>
      <c r="B12" s="24">
        <v>10500</v>
      </c>
      <c r="C12" s="24">
        <v>83150</v>
      </c>
      <c r="D12" s="24">
        <f t="shared" si="0"/>
        <v>93650</v>
      </c>
      <c r="E12" s="40"/>
      <c r="F12" s="24">
        <v>93650</v>
      </c>
      <c r="G12" s="6"/>
    </row>
    <row r="13" spans="1:8" x14ac:dyDescent="0.2">
      <c r="A13" s="23" t="s">
        <v>98</v>
      </c>
      <c r="B13" s="24">
        <v>2668.09</v>
      </c>
      <c r="C13" s="24">
        <v>21128.63</v>
      </c>
      <c r="D13" s="24">
        <f t="shared" si="0"/>
        <v>23796.720000000001</v>
      </c>
      <c r="E13" s="40"/>
      <c r="F13" s="24">
        <f>26894.71+9661.97</f>
        <v>36556.68</v>
      </c>
      <c r="G13" s="6"/>
    </row>
    <row r="14" spans="1:8" x14ac:dyDescent="0.2">
      <c r="A14" s="55" t="s">
        <v>6</v>
      </c>
      <c r="B14" s="24">
        <v>1457.03</v>
      </c>
      <c r="C14" s="24">
        <v>0</v>
      </c>
      <c r="D14" s="24">
        <f t="shared" si="0"/>
        <v>1457.03</v>
      </c>
      <c r="E14" s="40"/>
      <c r="F14" s="24">
        <v>13470.59</v>
      </c>
      <c r="G14" s="6"/>
    </row>
    <row r="15" spans="1:8" x14ac:dyDescent="0.2">
      <c r="A15" s="38" t="s">
        <v>19</v>
      </c>
      <c r="B15" s="41">
        <f>SUM(B9:B14)</f>
        <v>163465.15999999997</v>
      </c>
      <c r="C15" s="41">
        <f t="shared" ref="C15" si="1">SUM(C9:C10)</f>
        <v>89236.329999999987</v>
      </c>
      <c r="D15" s="41">
        <f>SUM(D9:D14)</f>
        <v>421627.16000000003</v>
      </c>
      <c r="E15" s="40">
        <f>SUM(D15/D41)*100</f>
        <v>140.07825836929882</v>
      </c>
      <c r="F15" s="27">
        <f>SUM(F9:F10)</f>
        <v>156847.62</v>
      </c>
      <c r="G15" s="6"/>
    </row>
    <row r="16" spans="1:8" x14ac:dyDescent="0.2">
      <c r="A16" s="38" t="s">
        <v>20</v>
      </c>
      <c r="B16" s="41"/>
      <c r="C16" s="24"/>
      <c r="D16" s="24"/>
      <c r="E16" s="40"/>
      <c r="F16" s="24"/>
      <c r="G16" s="6"/>
    </row>
    <row r="17" spans="1:7" x14ac:dyDescent="0.2">
      <c r="A17" s="23"/>
      <c r="B17" s="24">
        <v>0</v>
      </c>
      <c r="C17" s="24"/>
      <c r="D17" s="24">
        <f>SUM(B17:C17)</f>
        <v>0</v>
      </c>
      <c r="E17" s="40"/>
      <c r="F17" s="24"/>
      <c r="G17" s="6"/>
    </row>
    <row r="18" spans="1:7" x14ac:dyDescent="0.2">
      <c r="A18" s="38" t="s">
        <v>22</v>
      </c>
      <c r="B18" s="41">
        <f>SUM(B17:B17)</f>
        <v>0</v>
      </c>
      <c r="C18" s="41">
        <f>SUM(C17:C17)</f>
        <v>0</v>
      </c>
      <c r="D18" s="41">
        <f>SUM(B18:C18)</f>
        <v>0</v>
      </c>
      <c r="E18" s="40">
        <f>SUM(D18/D41)*100</f>
        <v>0</v>
      </c>
      <c r="F18" s="27">
        <f>SUM(F17:F17)</f>
        <v>0</v>
      </c>
      <c r="G18" s="6"/>
    </row>
    <row r="19" spans="1:7" x14ac:dyDescent="0.2">
      <c r="A19" s="38" t="s">
        <v>23</v>
      </c>
      <c r="B19" s="27"/>
      <c r="C19" s="24"/>
      <c r="D19" s="24"/>
      <c r="E19" s="40"/>
      <c r="F19" s="24"/>
      <c r="G19" s="6"/>
    </row>
    <row r="20" spans="1:7" x14ac:dyDescent="0.2">
      <c r="A20" s="23" t="s">
        <v>99</v>
      </c>
      <c r="B20" s="24">
        <v>5017.5</v>
      </c>
      <c r="C20" s="24"/>
      <c r="D20" s="24">
        <f>SUM(B20:C20)</f>
        <v>5017.5</v>
      </c>
      <c r="E20" s="40"/>
      <c r="F20" s="24">
        <v>6192.28</v>
      </c>
      <c r="G20" s="6"/>
    </row>
    <row r="21" spans="1:7" x14ac:dyDescent="0.2">
      <c r="A21" s="23" t="s">
        <v>101</v>
      </c>
      <c r="B21" s="24">
        <v>2860.56</v>
      </c>
      <c r="C21" s="24"/>
      <c r="D21" s="24">
        <f>SUM(B21:C21)</f>
        <v>2860.56</v>
      </c>
      <c r="E21" s="40"/>
      <c r="F21" s="24">
        <v>25527.1</v>
      </c>
      <c r="G21" s="6"/>
    </row>
    <row r="22" spans="1:7" x14ac:dyDescent="0.2">
      <c r="A22" s="23" t="s">
        <v>3</v>
      </c>
      <c r="B22" s="24">
        <f>330.42</f>
        <v>330.42</v>
      </c>
      <c r="C22" s="24"/>
      <c r="D22" s="24">
        <f t="shared" ref="D22:D23" si="2">SUM(B22:C22)</f>
        <v>330.42</v>
      </c>
      <c r="E22" s="40"/>
      <c r="F22" s="24">
        <f>1093.02/2</f>
        <v>546.51</v>
      </c>
      <c r="G22" s="6"/>
    </row>
    <row r="23" spans="1:7" x14ac:dyDescent="0.2">
      <c r="A23" s="23" t="s">
        <v>125</v>
      </c>
      <c r="B23" s="24">
        <v>0</v>
      </c>
      <c r="C23" s="24"/>
      <c r="D23" s="24">
        <f t="shared" si="2"/>
        <v>0</v>
      </c>
      <c r="E23" s="40"/>
      <c r="F23" s="24">
        <v>1825</v>
      </c>
      <c r="G23" s="6"/>
    </row>
    <row r="24" spans="1:7" x14ac:dyDescent="0.2">
      <c r="A24" s="23" t="s">
        <v>183</v>
      </c>
      <c r="B24" s="24">
        <v>704.46</v>
      </c>
      <c r="C24" s="24"/>
      <c r="D24" s="24">
        <f>SUM(B24:C24)</f>
        <v>704.46</v>
      </c>
      <c r="E24" s="40"/>
      <c r="F24" s="24">
        <v>966.3</v>
      </c>
      <c r="G24" s="6"/>
    </row>
    <row r="25" spans="1:7" x14ac:dyDescent="0.2">
      <c r="A25" s="23" t="s">
        <v>186</v>
      </c>
      <c r="B25" s="24">
        <f>728.08/2</f>
        <v>364.04</v>
      </c>
      <c r="C25" s="24"/>
      <c r="D25" s="24">
        <f>SUM(B25:C25)</f>
        <v>364.04</v>
      </c>
      <c r="E25" s="40"/>
      <c r="F25" s="24">
        <f>1128.67/2</f>
        <v>564.33500000000004</v>
      </c>
      <c r="G25" s="6"/>
    </row>
    <row r="26" spans="1:7" x14ac:dyDescent="0.2">
      <c r="A26" s="23" t="s">
        <v>100</v>
      </c>
      <c r="B26" s="24">
        <v>1613.05</v>
      </c>
      <c r="C26" s="24"/>
      <c r="D26" s="24">
        <f t="shared" ref="D26:D27" si="3">SUM(B26:C26)</f>
        <v>1613.05</v>
      </c>
      <c r="E26" s="40"/>
      <c r="F26" s="24">
        <f>3137.53+1039.01</f>
        <v>4176.54</v>
      </c>
      <c r="G26" s="6"/>
    </row>
    <row r="27" spans="1:7" x14ac:dyDescent="0.2">
      <c r="A27" s="23" t="s">
        <v>102</v>
      </c>
      <c r="B27" s="24">
        <v>907.24</v>
      </c>
      <c r="C27" s="24">
        <v>1185.93</v>
      </c>
      <c r="D27" s="24">
        <f t="shared" si="3"/>
        <v>2093.17</v>
      </c>
      <c r="E27" s="40"/>
      <c r="F27" s="24">
        <v>1628.85</v>
      </c>
      <c r="G27" s="6"/>
    </row>
    <row r="28" spans="1:7" x14ac:dyDescent="0.2">
      <c r="A28" s="38" t="s">
        <v>25</v>
      </c>
      <c r="B28" s="41">
        <f>SUM(B20:B27)</f>
        <v>11797.269999999999</v>
      </c>
      <c r="C28" s="41">
        <f>SUM(C20:C27)</f>
        <v>1185.93</v>
      </c>
      <c r="D28" s="41">
        <f>SUM(D20:D27)</f>
        <v>12983.199999999999</v>
      </c>
      <c r="E28" s="40">
        <f>SUM(D28/D41)*100</f>
        <v>4.3134413922961707</v>
      </c>
      <c r="F28" s="27">
        <f>SUM(F20:F21)</f>
        <v>31719.379999999997</v>
      </c>
      <c r="G28" s="6"/>
    </row>
    <row r="29" spans="1:7" x14ac:dyDescent="0.2">
      <c r="A29" s="38" t="s">
        <v>58</v>
      </c>
      <c r="B29" s="41"/>
      <c r="C29" s="24"/>
      <c r="D29" s="24"/>
      <c r="E29" s="40"/>
      <c r="F29" s="24"/>
      <c r="G29" s="6"/>
    </row>
    <row r="30" spans="1:7" x14ac:dyDescent="0.2">
      <c r="A30" s="23" t="s">
        <v>180</v>
      </c>
      <c r="B30" s="24">
        <v>2452.27</v>
      </c>
      <c r="C30" s="24"/>
      <c r="D30" s="24">
        <f>SUM(B30:C30)</f>
        <v>2452.27</v>
      </c>
      <c r="E30" s="40"/>
      <c r="F30" s="24"/>
      <c r="G30" s="6"/>
    </row>
    <row r="31" spans="1:7" x14ac:dyDescent="0.2">
      <c r="A31" s="38" t="s">
        <v>179</v>
      </c>
      <c r="B31" s="41">
        <f>SUM(B30)</f>
        <v>2452.27</v>
      </c>
      <c r="C31" s="41">
        <f>SUM(C30)</f>
        <v>0</v>
      </c>
      <c r="D31" s="41">
        <f>SUM(B31:C31)</f>
        <v>2452.27</v>
      </c>
      <c r="E31" s="40">
        <f>SUM(D31/D41)*100</f>
        <v>0.81472386800527841</v>
      </c>
      <c r="F31" s="27">
        <f>SUM(F30)</f>
        <v>0</v>
      </c>
      <c r="G31" s="6"/>
    </row>
    <row r="32" spans="1:7" x14ac:dyDescent="0.2">
      <c r="A32" s="38" t="s">
        <v>26</v>
      </c>
      <c r="B32" s="41"/>
      <c r="C32" s="24"/>
      <c r="D32" s="24"/>
      <c r="E32" s="40"/>
      <c r="F32" s="24"/>
      <c r="G32" s="6"/>
    </row>
    <row r="33" spans="1:7" x14ac:dyDescent="0.2">
      <c r="A33" s="23"/>
      <c r="B33" s="24">
        <v>0</v>
      </c>
      <c r="C33" s="24"/>
      <c r="D33" s="24">
        <f>SUM(B33:C33)</f>
        <v>0</v>
      </c>
      <c r="E33" s="40"/>
      <c r="F33" s="24"/>
      <c r="G33" s="6"/>
    </row>
    <row r="34" spans="1:7" x14ac:dyDescent="0.2">
      <c r="A34" s="38" t="s">
        <v>27</v>
      </c>
      <c r="B34" s="41">
        <f>SUM(B33)</f>
        <v>0</v>
      </c>
      <c r="C34" s="41">
        <f>SUM(C33)</f>
        <v>0</v>
      </c>
      <c r="D34" s="41">
        <f>SUM(B34:C34)</f>
        <v>0</v>
      </c>
      <c r="E34" s="40">
        <f>SUM(D34/D41)*100</f>
        <v>0</v>
      </c>
      <c r="F34" s="27">
        <f>SUM(F33)</f>
        <v>0</v>
      </c>
      <c r="G34" s="6"/>
    </row>
    <row r="35" spans="1:7" x14ac:dyDescent="0.2">
      <c r="A35" s="38" t="s">
        <v>28</v>
      </c>
      <c r="B35" s="27"/>
      <c r="C35" s="24"/>
      <c r="D35" s="24"/>
      <c r="E35" s="40"/>
      <c r="F35" s="24"/>
      <c r="G35" s="6"/>
    </row>
    <row r="36" spans="1:7" x14ac:dyDescent="0.2">
      <c r="A36" s="23" t="s">
        <v>37</v>
      </c>
      <c r="B36" s="24">
        <v>7845.46</v>
      </c>
      <c r="C36" s="24">
        <v>7489.6</v>
      </c>
      <c r="D36" s="24">
        <f>SUM(B36:C36)</f>
        <v>15335.060000000001</v>
      </c>
      <c r="E36" s="40"/>
      <c r="F36" s="24">
        <f>17428.31+1434.47</f>
        <v>18862.780000000002</v>
      </c>
      <c r="G36" s="22"/>
    </row>
    <row r="37" spans="1:7" x14ac:dyDescent="0.2">
      <c r="A37" s="23" t="s">
        <v>35</v>
      </c>
      <c r="B37" s="24">
        <f>105.07/2</f>
        <v>52.534999999999997</v>
      </c>
      <c r="C37" s="24"/>
      <c r="D37" s="24">
        <f>SUM(B37:C37)</f>
        <v>52.534999999999997</v>
      </c>
      <c r="E37" s="40"/>
      <c r="F37" s="24">
        <f>105.07/2</f>
        <v>52.534999999999997</v>
      </c>
      <c r="G37" s="22"/>
    </row>
    <row r="38" spans="1:7" x14ac:dyDescent="0.2">
      <c r="A38" s="23" t="s">
        <v>95</v>
      </c>
      <c r="B38" s="24">
        <v>5206.49</v>
      </c>
      <c r="C38" s="24">
        <v>12262.96</v>
      </c>
      <c r="D38" s="24">
        <f>SUM(B38:C38)</f>
        <v>17469.449999999997</v>
      </c>
      <c r="E38" s="40"/>
      <c r="F38" s="24">
        <v>13877.81</v>
      </c>
      <c r="G38" s="6"/>
    </row>
    <row r="39" spans="1:7" x14ac:dyDescent="0.2">
      <c r="A39" s="38" t="s">
        <v>29</v>
      </c>
      <c r="B39" s="41">
        <f>SUM(B36:B38)</f>
        <v>13104.485000000001</v>
      </c>
      <c r="C39" s="41">
        <f t="shared" ref="C39:D39" si="4">SUM(C36:C38)</f>
        <v>19752.559999999998</v>
      </c>
      <c r="D39" s="41">
        <f t="shared" si="4"/>
        <v>32857.044999999998</v>
      </c>
      <c r="E39" s="40">
        <f>SUM(D39/D41)*100</f>
        <v>10.916179210944753</v>
      </c>
      <c r="F39" s="27">
        <f>SUM(F36:F38)</f>
        <v>32793.125</v>
      </c>
      <c r="G39" s="6"/>
    </row>
    <row r="40" spans="1:7" x14ac:dyDescent="0.2">
      <c r="A40" s="38"/>
      <c r="B40" s="27"/>
      <c r="C40" s="24"/>
      <c r="D40" s="27"/>
      <c r="E40" s="40"/>
      <c r="F40" s="24"/>
      <c r="G40" s="6"/>
    </row>
    <row r="41" spans="1:7" x14ac:dyDescent="0.2">
      <c r="A41" s="38" t="s">
        <v>30</v>
      </c>
      <c r="B41" s="41">
        <f>B15+B18+B28+B31+B34+B39</f>
        <v>190819.18499999994</v>
      </c>
      <c r="C41" s="41">
        <f>SUM(C39,C34,C28,C18,C15)</f>
        <v>110174.81999999998</v>
      </c>
      <c r="D41" s="41">
        <f>SUM(B41:C41)</f>
        <v>300994.00499999989</v>
      </c>
      <c r="E41" s="40">
        <f>SUM(E15:E39)</f>
        <v>156.12260284054503</v>
      </c>
      <c r="F41" s="27">
        <f>F39+F34+F28+F18+F15</f>
        <v>221360.125</v>
      </c>
      <c r="G41" s="6"/>
    </row>
    <row r="42" spans="1:7" x14ac:dyDescent="0.2">
      <c r="A42" s="9"/>
      <c r="B42" s="19"/>
      <c r="C42" s="19"/>
      <c r="D42" s="19"/>
      <c r="E42" s="4"/>
      <c r="F42" s="20"/>
      <c r="G42" s="6"/>
    </row>
    <row r="43" spans="1:7" x14ac:dyDescent="0.2">
      <c r="A43" s="9"/>
      <c r="B43" s="19"/>
      <c r="C43" s="19"/>
      <c r="D43" s="19"/>
      <c r="E43" s="4"/>
      <c r="F43" s="20"/>
      <c r="G43" s="6"/>
    </row>
    <row r="44" spans="1:7" x14ac:dyDescent="0.2">
      <c r="A44" s="9"/>
      <c r="B44" s="19"/>
      <c r="C44" s="19"/>
      <c r="D44" s="19"/>
      <c r="E44" s="4"/>
      <c r="F44" s="20"/>
      <c r="G44" s="6"/>
    </row>
    <row r="45" spans="1:7" x14ac:dyDescent="0.2">
      <c r="A45" s="9"/>
      <c r="B45" s="19"/>
      <c r="C45" s="19"/>
      <c r="D45" s="19"/>
      <c r="E45" s="4"/>
      <c r="F45" s="20"/>
      <c r="G45" s="6"/>
    </row>
    <row r="46" spans="1:7" x14ac:dyDescent="0.2">
      <c r="A46" s="6"/>
      <c r="B46" s="18"/>
      <c r="C46" s="18"/>
      <c r="D46" s="18"/>
      <c r="E46" s="4"/>
      <c r="F46" s="18"/>
      <c r="G46" s="6"/>
    </row>
    <row r="47" spans="1:7" x14ac:dyDescent="0.2">
      <c r="A47" s="42" t="s">
        <v>31</v>
      </c>
      <c r="B47" s="41"/>
      <c r="C47" s="41"/>
      <c r="D47" s="41"/>
      <c r="E47" s="43"/>
      <c r="F47" s="24"/>
      <c r="G47" s="6"/>
    </row>
    <row r="48" spans="1:7" x14ac:dyDescent="0.2">
      <c r="A48" s="46" t="s">
        <v>132</v>
      </c>
      <c r="B48" s="41"/>
      <c r="C48" s="41"/>
      <c r="D48" s="41"/>
      <c r="E48" s="43"/>
      <c r="F48" s="24"/>
      <c r="G48" s="6"/>
    </row>
    <row r="49" spans="1:7" x14ac:dyDescent="0.2">
      <c r="A49" s="45" t="s">
        <v>159</v>
      </c>
      <c r="B49" s="24">
        <v>338166.67</v>
      </c>
      <c r="C49" s="24">
        <f>342107.18-B49</f>
        <v>3940.5100000000093</v>
      </c>
      <c r="D49" s="24">
        <f>SUM(B49:C49)</f>
        <v>342107.18</v>
      </c>
      <c r="E49" s="40"/>
      <c r="F49" s="24">
        <v>15205.58</v>
      </c>
      <c r="G49" s="6"/>
    </row>
    <row r="50" spans="1:7" x14ac:dyDescent="0.2">
      <c r="A50" s="42" t="s">
        <v>131</v>
      </c>
      <c r="B50" s="41">
        <f>SUM(B49:B49)</f>
        <v>338166.67</v>
      </c>
      <c r="C50" s="41">
        <f>SUM(C49:C49)</f>
        <v>3940.5100000000093</v>
      </c>
      <c r="D50" s="41">
        <f>SUM(D49:D49)</f>
        <v>342107.18</v>
      </c>
      <c r="E50" s="40">
        <f>(D50/D52)*100</f>
        <v>100</v>
      </c>
      <c r="F50" s="27">
        <f>SUM(F49)</f>
        <v>15205.58</v>
      </c>
      <c r="G50" s="6"/>
    </row>
    <row r="51" spans="1:7" x14ac:dyDescent="0.2">
      <c r="A51" s="46"/>
      <c r="B51" s="41"/>
      <c r="C51" s="41"/>
      <c r="D51" s="27"/>
      <c r="E51" s="43"/>
      <c r="F51" s="24"/>
      <c r="G51" s="6"/>
    </row>
    <row r="52" spans="1:7" x14ac:dyDescent="0.2">
      <c r="A52" s="44" t="s">
        <v>60</v>
      </c>
      <c r="B52" s="41">
        <f>B50</f>
        <v>338166.67</v>
      </c>
      <c r="C52" s="41">
        <f t="shared" ref="C52:D52" si="5">C50</f>
        <v>3940.5100000000093</v>
      </c>
      <c r="D52" s="41">
        <f t="shared" si="5"/>
        <v>342107.18</v>
      </c>
      <c r="E52" s="49">
        <f>E47+E50</f>
        <v>100</v>
      </c>
      <c r="F52" s="41">
        <f>F50</f>
        <v>15205.58</v>
      </c>
      <c r="G52" s="6"/>
    </row>
    <row r="53" spans="1:7" x14ac:dyDescent="0.2">
      <c r="A53" s="23"/>
      <c r="B53" s="24"/>
      <c r="C53" s="24"/>
      <c r="D53" s="24"/>
      <c r="E53" s="40"/>
      <c r="F53" s="24"/>
      <c r="G53" s="6"/>
    </row>
    <row r="54" spans="1:7" x14ac:dyDescent="0.2">
      <c r="A54" s="26" t="s">
        <v>32</v>
      </c>
      <c r="B54" s="27">
        <f>B52-B41</f>
        <v>147347.48500000004</v>
      </c>
      <c r="C54" s="27">
        <f t="shared" ref="C54:F54" si="6">C52-C41</f>
        <v>-106234.30999999997</v>
      </c>
      <c r="D54" s="27">
        <f t="shared" si="6"/>
        <v>41113.175000000105</v>
      </c>
      <c r="E54" s="27">
        <f t="shared" si="6"/>
        <v>-56.122602840545028</v>
      </c>
      <c r="F54" s="27">
        <f t="shared" si="6"/>
        <v>-206154.54500000001</v>
      </c>
      <c r="G54" s="6"/>
    </row>
    <row r="55" spans="1:7" x14ac:dyDescent="0.2">
      <c r="A55" s="7"/>
      <c r="B55" s="10"/>
      <c r="C55" s="10"/>
      <c r="D55" s="10"/>
      <c r="E55" s="4"/>
      <c r="F55" s="11"/>
      <c r="G55" s="6"/>
    </row>
    <row r="56" spans="1:7" x14ac:dyDescent="0.2">
      <c r="A56" s="12"/>
      <c r="B56" s="13"/>
      <c r="C56" s="13"/>
      <c r="D56" s="13"/>
      <c r="E56" s="14"/>
      <c r="F56" s="12"/>
      <c r="G56" s="6"/>
    </row>
    <row r="57" spans="1:7" x14ac:dyDescent="0.2">
      <c r="A57" s="12"/>
      <c r="B57" s="13"/>
      <c r="C57" s="13"/>
      <c r="D57" s="13"/>
      <c r="E57" s="14"/>
      <c r="F57" s="12"/>
      <c r="G57" s="6"/>
    </row>
    <row r="58" spans="1:7" x14ac:dyDescent="0.2">
      <c r="A58" s="12"/>
      <c r="B58" s="13"/>
      <c r="C58" s="13"/>
      <c r="D58" s="13"/>
      <c r="E58" s="14"/>
      <c r="F58" s="12"/>
      <c r="G58" s="6"/>
    </row>
    <row r="59" spans="1:7" x14ac:dyDescent="0.2">
      <c r="A59" s="12"/>
      <c r="B59" s="13"/>
      <c r="C59" s="13"/>
      <c r="D59" s="13"/>
      <c r="E59" s="14"/>
      <c r="F59" s="12"/>
      <c r="G59" s="6"/>
    </row>
    <row r="60" spans="1:7" x14ac:dyDescent="0.2">
      <c r="A60" s="12"/>
      <c r="B60" s="13"/>
      <c r="C60" s="13"/>
      <c r="D60" s="13"/>
      <c r="E60" s="14"/>
      <c r="F60" s="12"/>
      <c r="G60" s="6"/>
    </row>
    <row r="61" spans="1:7" x14ac:dyDescent="0.2">
      <c r="B61" s="15"/>
      <c r="C61" s="15"/>
      <c r="D61" s="15"/>
    </row>
    <row r="62" spans="1:7" x14ac:dyDescent="0.2">
      <c r="B62" s="15"/>
      <c r="C62" s="15"/>
      <c r="D62" s="15"/>
    </row>
    <row r="63" spans="1:7" x14ac:dyDescent="0.2">
      <c r="B63" s="15"/>
      <c r="C63" s="15"/>
      <c r="D63" s="15"/>
    </row>
    <row r="64" spans="1:7" x14ac:dyDescent="0.2">
      <c r="B64" s="15"/>
      <c r="C64" s="15"/>
      <c r="D64" s="15"/>
    </row>
    <row r="65" spans="1:8" x14ac:dyDescent="0.2">
      <c r="B65" s="15"/>
      <c r="C65" s="15"/>
      <c r="D65" s="15"/>
    </row>
    <row r="66" spans="1:8" x14ac:dyDescent="0.2">
      <c r="B66" s="15"/>
      <c r="C66" s="15"/>
      <c r="D66" s="15"/>
    </row>
    <row r="67" spans="1:8" x14ac:dyDescent="0.2">
      <c r="B67" s="15"/>
      <c r="C67" s="15"/>
      <c r="D67" s="15"/>
    </row>
    <row r="68" spans="1:8" x14ac:dyDescent="0.2">
      <c r="B68" s="15"/>
      <c r="C68" s="15"/>
      <c r="D68" s="15"/>
    </row>
    <row r="69" spans="1:8" x14ac:dyDescent="0.2">
      <c r="B69" s="15"/>
      <c r="C69" s="15"/>
      <c r="D69" s="15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  <row r="282" spans="1:8" s="16" customFormat="1" x14ac:dyDescent="0.2">
      <c r="A282" s="1"/>
      <c r="B282" s="15"/>
      <c r="C282" s="15"/>
      <c r="D282" s="15"/>
      <c r="F282" s="1"/>
      <c r="G282" s="1"/>
      <c r="H282" s="1"/>
    </row>
    <row r="283" spans="1:8" s="16" customFormat="1" x14ac:dyDescent="0.2">
      <c r="A283" s="1"/>
      <c r="B283" s="15"/>
      <c r="C283" s="15"/>
      <c r="D283" s="15"/>
      <c r="F283" s="1"/>
      <c r="G283" s="1"/>
      <c r="H283" s="1"/>
    </row>
    <row r="284" spans="1:8" s="16" customFormat="1" x14ac:dyDescent="0.2">
      <c r="A284" s="1"/>
      <c r="B284" s="15"/>
      <c r="C284" s="15"/>
      <c r="D284" s="15"/>
      <c r="F284" s="1"/>
      <c r="G284" s="1"/>
      <c r="H284" s="1"/>
    </row>
    <row r="285" spans="1:8" s="16" customFormat="1" x14ac:dyDescent="0.2">
      <c r="A285" s="1"/>
      <c r="B285" s="15"/>
      <c r="C285" s="15"/>
      <c r="D285" s="15"/>
      <c r="F285" s="1"/>
      <c r="G285" s="1"/>
      <c r="H285" s="1"/>
    </row>
    <row r="286" spans="1:8" s="16" customFormat="1" x14ac:dyDescent="0.2">
      <c r="A286" s="1"/>
      <c r="B286" s="15"/>
      <c r="C286" s="15"/>
      <c r="D286" s="15"/>
      <c r="F286" s="1"/>
      <c r="G286" s="1"/>
      <c r="H286" s="1"/>
    </row>
    <row r="287" spans="1:8" s="16" customFormat="1" x14ac:dyDescent="0.2">
      <c r="A287" s="1"/>
      <c r="B287" s="15"/>
      <c r="C287" s="15"/>
      <c r="D287" s="15"/>
      <c r="F287" s="1"/>
      <c r="G287" s="1"/>
      <c r="H287" s="1"/>
    </row>
    <row r="288" spans="1:8" s="16" customFormat="1" x14ac:dyDescent="0.2">
      <c r="A288" s="1"/>
      <c r="B288" s="15"/>
      <c r="C288" s="15"/>
      <c r="D288" s="15"/>
      <c r="F288" s="1"/>
      <c r="G288" s="1"/>
      <c r="H288" s="1"/>
    </row>
    <row r="289" spans="1:8" s="16" customFormat="1" x14ac:dyDescent="0.2">
      <c r="A289" s="1"/>
      <c r="B289" s="15"/>
      <c r="C289" s="15"/>
      <c r="D289" s="15"/>
      <c r="F289" s="1"/>
      <c r="G289" s="1"/>
      <c r="H289" s="1"/>
    </row>
    <row r="290" spans="1:8" s="16" customFormat="1" x14ac:dyDescent="0.2">
      <c r="A290" s="1"/>
      <c r="B290" s="15"/>
      <c r="C290" s="15"/>
      <c r="D290" s="15"/>
      <c r="F290" s="1"/>
      <c r="G290" s="1"/>
      <c r="H290" s="1"/>
    </row>
    <row r="291" spans="1:8" s="16" customFormat="1" x14ac:dyDescent="0.2">
      <c r="A291" s="1"/>
      <c r="B291" s="15"/>
      <c r="C291" s="15"/>
      <c r="D291" s="15"/>
      <c r="F291" s="1"/>
      <c r="G291" s="1"/>
      <c r="H291" s="1"/>
    </row>
    <row r="292" spans="1:8" s="16" customFormat="1" x14ac:dyDescent="0.2">
      <c r="A292" s="1"/>
      <c r="B292" s="15"/>
      <c r="C292" s="15"/>
      <c r="D292" s="15"/>
      <c r="F292" s="1"/>
      <c r="G292" s="1"/>
      <c r="H292" s="1"/>
    </row>
    <row r="293" spans="1:8" s="16" customFormat="1" x14ac:dyDescent="0.2">
      <c r="A293" s="1"/>
      <c r="B293" s="15"/>
      <c r="C293" s="15"/>
      <c r="D293" s="15"/>
      <c r="F293" s="1"/>
      <c r="G293" s="1"/>
      <c r="H293" s="1"/>
    </row>
    <row r="294" spans="1:8" s="16" customFormat="1" x14ac:dyDescent="0.2">
      <c r="A294" s="1"/>
      <c r="B294" s="15"/>
      <c r="C294" s="15"/>
      <c r="D294" s="15"/>
      <c r="F294" s="1"/>
      <c r="G294" s="1"/>
      <c r="H294" s="1"/>
    </row>
    <row r="295" spans="1:8" s="16" customFormat="1" x14ac:dyDescent="0.2">
      <c r="A295" s="1"/>
      <c r="B295" s="15"/>
      <c r="C295" s="15"/>
      <c r="D295" s="15"/>
      <c r="F295" s="1"/>
      <c r="G295" s="1"/>
      <c r="H295" s="1"/>
    </row>
    <row r="296" spans="1:8" s="16" customFormat="1" x14ac:dyDescent="0.2">
      <c r="A296" s="1"/>
      <c r="B296" s="15"/>
      <c r="C296" s="15"/>
      <c r="D296" s="15"/>
      <c r="F296" s="1"/>
      <c r="G296" s="1"/>
      <c r="H296" s="1"/>
    </row>
    <row r="297" spans="1:8" s="16" customFormat="1" x14ac:dyDescent="0.2">
      <c r="A297" s="1"/>
      <c r="B297" s="15"/>
      <c r="C297" s="15"/>
      <c r="D297" s="15"/>
      <c r="F297" s="1"/>
      <c r="G297" s="1"/>
      <c r="H297" s="1"/>
    </row>
    <row r="298" spans="1:8" s="16" customFormat="1" x14ac:dyDescent="0.2">
      <c r="A298" s="1"/>
      <c r="B298" s="15"/>
      <c r="C298" s="15"/>
      <c r="D298" s="15"/>
      <c r="F298" s="1"/>
      <c r="G298" s="1"/>
      <c r="H298" s="1"/>
    </row>
    <row r="299" spans="1:8" s="16" customFormat="1" x14ac:dyDescent="0.2">
      <c r="A299" s="1"/>
      <c r="B299" s="15"/>
      <c r="C299" s="15"/>
      <c r="D299" s="15"/>
      <c r="F299" s="1"/>
      <c r="G299" s="1"/>
      <c r="H299" s="1"/>
    </row>
    <row r="300" spans="1:8" s="16" customFormat="1" x14ac:dyDescent="0.2">
      <c r="A300" s="1"/>
      <c r="B300" s="15"/>
      <c r="C300" s="15"/>
      <c r="D300" s="15"/>
      <c r="F300" s="1"/>
      <c r="G300" s="1"/>
      <c r="H300" s="1"/>
    </row>
    <row r="301" spans="1:8" s="16" customFormat="1" x14ac:dyDescent="0.2">
      <c r="A301" s="1"/>
      <c r="B301" s="15"/>
      <c r="C301" s="15"/>
      <c r="D301" s="15"/>
      <c r="F301" s="1"/>
      <c r="G301" s="1"/>
      <c r="H301" s="1"/>
    </row>
    <row r="302" spans="1:8" s="16" customFormat="1" x14ac:dyDescent="0.2">
      <c r="A302" s="1"/>
      <c r="B302" s="15"/>
      <c r="C302" s="15"/>
      <c r="D302" s="15"/>
      <c r="F302" s="1"/>
      <c r="G302" s="1"/>
      <c r="H302" s="1"/>
    </row>
  </sheetData>
  <mergeCells count="1">
    <mergeCell ref="B6:D6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H274"/>
  <sheetViews>
    <sheetView topLeftCell="A10" workbookViewId="0">
      <selection activeCell="A40" sqref="A40:XFD50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106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57300.52</v>
      </c>
      <c r="C10" s="24">
        <v>67246.429999999993</v>
      </c>
      <c r="D10" s="24">
        <f>SUM(B10:C10)</f>
        <v>124546.94999999998</v>
      </c>
      <c r="E10" s="40"/>
      <c r="F10" s="24">
        <v>118113.04</v>
      </c>
      <c r="G10" s="6"/>
    </row>
    <row r="11" spans="1:8" x14ac:dyDescent="0.2">
      <c r="A11" s="23" t="s">
        <v>34</v>
      </c>
      <c r="B11" s="24">
        <v>16223.84</v>
      </c>
      <c r="C11" s="24">
        <v>17907.189999999999</v>
      </c>
      <c r="D11" s="24">
        <f>SUM(B11:C11)</f>
        <v>34131.03</v>
      </c>
      <c r="E11" s="40"/>
      <c r="F11" s="24">
        <v>32432.78</v>
      </c>
      <c r="G11" s="6"/>
    </row>
    <row r="12" spans="1:8" x14ac:dyDescent="0.2">
      <c r="A12" s="38" t="s">
        <v>19</v>
      </c>
      <c r="B12" s="41">
        <f>SUM(B10:B11)</f>
        <v>73524.36</v>
      </c>
      <c r="C12" s="41">
        <f t="shared" ref="C12:D12" si="0">SUM(C10:C11)</f>
        <v>85153.62</v>
      </c>
      <c r="D12" s="41">
        <f t="shared" si="0"/>
        <v>158677.97999999998</v>
      </c>
      <c r="E12" s="40">
        <f>SUM(D12/D30)*100</f>
        <v>94.35605867798985</v>
      </c>
      <c r="F12" s="27">
        <f>SUM(F10:F11)</f>
        <v>150545.82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SUM(D16/D30)*100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</v>
      </c>
      <c r="B18" s="24">
        <v>60</v>
      </c>
      <c r="C18" s="24"/>
      <c r="D18" s="24">
        <f>SUM(B18:C18)</f>
        <v>60</v>
      </c>
      <c r="E18" s="40"/>
      <c r="F18" s="24">
        <v>0</v>
      </c>
      <c r="G18" s="6"/>
    </row>
    <row r="19" spans="1:7" x14ac:dyDescent="0.2">
      <c r="A19" s="23" t="s">
        <v>121</v>
      </c>
      <c r="B19" s="24">
        <v>0</v>
      </c>
      <c r="C19" s="24"/>
      <c r="D19" s="24"/>
      <c r="E19" s="40"/>
      <c r="F19" s="24">
        <v>130</v>
      </c>
      <c r="G19" s="6"/>
    </row>
    <row r="20" spans="1:7" x14ac:dyDescent="0.2">
      <c r="A20" s="23" t="s">
        <v>120</v>
      </c>
      <c r="B20" s="24">
        <v>0</v>
      </c>
      <c r="C20" s="24">
        <v>456.77</v>
      </c>
      <c r="D20" s="24">
        <f>SUM(B20:C20)</f>
        <v>456.77</v>
      </c>
      <c r="E20" s="40"/>
      <c r="F20" s="24">
        <v>816.04</v>
      </c>
      <c r="G20" s="6"/>
    </row>
    <row r="21" spans="1:7" x14ac:dyDescent="0.2">
      <c r="A21" s="38" t="s">
        <v>25</v>
      </c>
      <c r="B21" s="41">
        <f>SUM(B18:B20)</f>
        <v>60</v>
      </c>
      <c r="C21" s="41">
        <f>SUM(C18:C20)</f>
        <v>456.77</v>
      </c>
      <c r="D21" s="41">
        <f>SUM(D18:D20)</f>
        <v>516.77</v>
      </c>
      <c r="E21" s="40">
        <f>SUM(D21/D30)*100</f>
        <v>0.30729141146758249</v>
      </c>
      <c r="F21" s="27">
        <f>SUM(F18:F20)</f>
        <v>946.04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/>
      <c r="B23" s="24">
        <v>0</v>
      </c>
      <c r="C23" s="24"/>
      <c r="D23" s="24">
        <f>SUM(B23:C23)</f>
        <v>0</v>
      </c>
      <c r="E23" s="40"/>
      <c r="F23" s="24"/>
      <c r="G23" s="6"/>
    </row>
    <row r="24" spans="1:7" x14ac:dyDescent="0.2">
      <c r="A24" s="38" t="s">
        <v>27</v>
      </c>
      <c r="B24" s="41">
        <f>SUM(B23)</f>
        <v>0</v>
      </c>
      <c r="C24" s="41">
        <f>SUM(C23)</f>
        <v>0</v>
      </c>
      <c r="D24" s="41">
        <f>SUM(B24:C24)</f>
        <v>0</v>
      </c>
      <c r="E24" s="40">
        <f>SUM(D24/D30)*100</f>
        <v>0</v>
      </c>
      <c r="F24" s="27">
        <f>SUM(F23)</f>
        <v>0</v>
      </c>
      <c r="G24" s="6"/>
    </row>
    <row r="25" spans="1:7" x14ac:dyDescent="0.2">
      <c r="A25" s="38" t="s">
        <v>28</v>
      </c>
      <c r="B25" s="27"/>
      <c r="C25" s="24"/>
      <c r="D25" s="24"/>
      <c r="E25" s="40"/>
      <c r="F25" s="24"/>
      <c r="G25" s="6"/>
    </row>
    <row r="26" spans="1:7" x14ac:dyDescent="0.2">
      <c r="A26" s="23" t="s">
        <v>37</v>
      </c>
      <c r="B26" s="24">
        <v>4126.01</v>
      </c>
      <c r="C26" s="24">
        <v>4848.6000000000004</v>
      </c>
      <c r="D26" s="24">
        <f>SUM(B26:C26)</f>
        <v>8974.61</v>
      </c>
      <c r="E26" s="40"/>
      <c r="F26" s="24">
        <v>8811.0300000000007</v>
      </c>
      <c r="G26" s="6"/>
    </row>
    <row r="27" spans="1:7" x14ac:dyDescent="0.2">
      <c r="A27" s="23"/>
      <c r="B27" s="24">
        <v>0</v>
      </c>
      <c r="C27" s="24"/>
      <c r="D27" s="24"/>
      <c r="E27" s="40"/>
      <c r="F27" s="24"/>
      <c r="G27" s="6"/>
    </row>
    <row r="28" spans="1:7" x14ac:dyDescent="0.2">
      <c r="A28" s="38" t="s">
        <v>29</v>
      </c>
      <c r="B28" s="41">
        <f>SUM(B26:B27)</f>
        <v>4126.01</v>
      </c>
      <c r="C28" s="41">
        <f t="shared" ref="C28:D28" si="1">SUM(C26:C27)</f>
        <v>4848.6000000000004</v>
      </c>
      <c r="D28" s="41">
        <f t="shared" si="1"/>
        <v>8974.61</v>
      </c>
      <c r="E28" s="40">
        <f>SUM(D28/D30)*100</f>
        <v>5.3366499105425635</v>
      </c>
      <c r="F28" s="27">
        <f>SUM(F26:F27)</f>
        <v>8811.0300000000007</v>
      </c>
      <c r="G28" s="6"/>
    </row>
    <row r="29" spans="1:7" x14ac:dyDescent="0.2">
      <c r="A29" s="38"/>
      <c r="B29" s="27"/>
      <c r="C29" s="24"/>
      <c r="D29" s="27"/>
      <c r="E29" s="40"/>
      <c r="F29" s="24"/>
      <c r="G29" s="6"/>
    </row>
    <row r="30" spans="1:7" x14ac:dyDescent="0.2">
      <c r="A30" s="38" t="s">
        <v>30</v>
      </c>
      <c r="B30" s="41">
        <f>SUM(B28,B24,B21,B16,B12)</f>
        <v>77710.37</v>
      </c>
      <c r="C30" s="41">
        <f>SUM(C28,C24,C21,C16,C12)</f>
        <v>90458.989999999991</v>
      </c>
      <c r="D30" s="41">
        <f>SUM(B30:C30)</f>
        <v>168169.36</v>
      </c>
      <c r="E30" s="40">
        <f>SUM(E12:E28)</f>
        <v>100</v>
      </c>
      <c r="F30" s="27">
        <f>F28+F24+F21+F16+F12</f>
        <v>160302.89000000001</v>
      </c>
      <c r="G30" s="6"/>
    </row>
    <row r="31" spans="1:7" x14ac:dyDescent="0.2">
      <c r="A31" s="23"/>
      <c r="B31" s="24"/>
      <c r="C31" s="24"/>
      <c r="D31" s="24"/>
      <c r="E31" s="40"/>
      <c r="F31" s="24"/>
      <c r="G31" s="6"/>
    </row>
    <row r="32" spans="1:7" x14ac:dyDescent="0.2">
      <c r="A32" s="42" t="s">
        <v>31</v>
      </c>
      <c r="B32" s="41"/>
      <c r="C32" s="41"/>
      <c r="D32" s="41"/>
      <c r="E32" s="43"/>
      <c r="F32" s="24"/>
      <c r="G32" s="6"/>
    </row>
    <row r="33" spans="1:7" x14ac:dyDescent="0.2">
      <c r="A33" s="23"/>
      <c r="B33" s="24"/>
      <c r="C33" s="24"/>
      <c r="D33" s="24"/>
      <c r="E33" s="40"/>
      <c r="F33" s="24"/>
      <c r="G33" s="6"/>
    </row>
    <row r="34" spans="1:7" x14ac:dyDescent="0.2">
      <c r="A34" s="26" t="s">
        <v>32</v>
      </c>
      <c r="B34" s="27">
        <f t="shared" ref="B34:F34" si="2">B32-B30</f>
        <v>-77710.37</v>
      </c>
      <c r="C34" s="27">
        <f t="shared" si="2"/>
        <v>-90458.989999999991</v>
      </c>
      <c r="D34" s="27">
        <f t="shared" si="2"/>
        <v>-168169.36</v>
      </c>
      <c r="E34" s="47">
        <f t="shared" si="2"/>
        <v>-100</v>
      </c>
      <c r="F34" s="27">
        <f t="shared" si="2"/>
        <v>-160302.89000000001</v>
      </c>
      <c r="G34" s="6"/>
    </row>
    <row r="35" spans="1:7" x14ac:dyDescent="0.2">
      <c r="A35" s="7"/>
      <c r="B35" s="10"/>
      <c r="C35" s="10"/>
      <c r="D35" s="10"/>
      <c r="E35" s="4"/>
      <c r="F35" s="11"/>
      <c r="G35" s="6"/>
    </row>
    <row r="36" spans="1:7" x14ac:dyDescent="0.2">
      <c r="A36" s="7"/>
      <c r="B36" s="10"/>
      <c r="C36" s="10"/>
      <c r="D36" s="10"/>
      <c r="E36" s="4"/>
      <c r="F36" s="11"/>
      <c r="G36" s="6"/>
    </row>
    <row r="37" spans="1:7" x14ac:dyDescent="0.2">
      <c r="A37" s="7"/>
      <c r="B37" s="10"/>
      <c r="C37" s="10"/>
      <c r="D37" s="10"/>
      <c r="E37" s="4"/>
      <c r="F37" s="11"/>
      <c r="G37" s="6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H301"/>
  <sheetViews>
    <sheetView topLeftCell="A37" workbookViewId="0">
      <selection activeCell="A71" sqref="A71:XFD80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2.42578125" style="17" bestFit="1" customWidth="1"/>
    <col min="4" max="4" width="14.140625" style="17" bestFit="1" customWidth="1"/>
    <col min="5" max="5" width="7.5703125" style="16" bestFit="1" customWidth="1"/>
    <col min="6" max="6" width="14.1406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107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22105.99</v>
      </c>
      <c r="C10" s="24">
        <v>34347.18</v>
      </c>
      <c r="D10" s="24">
        <f>SUM(B10:C10)</f>
        <v>56453.17</v>
      </c>
      <c r="E10" s="40"/>
      <c r="F10" s="24">
        <v>88498.8</v>
      </c>
      <c r="G10" s="6"/>
    </row>
    <row r="11" spans="1:8" x14ac:dyDescent="0.2">
      <c r="A11" s="23" t="s">
        <v>34</v>
      </c>
      <c r="B11" s="24">
        <v>8565.75</v>
      </c>
      <c r="C11" s="24">
        <v>12195.49</v>
      </c>
      <c r="D11" s="24">
        <f>SUM(B11:C11)</f>
        <v>20761.239999999998</v>
      </c>
      <c r="E11" s="40"/>
      <c r="F11" s="24">
        <v>32354.01</v>
      </c>
      <c r="G11" s="6"/>
    </row>
    <row r="12" spans="1:8" x14ac:dyDescent="0.2">
      <c r="A12" s="38" t="s">
        <v>19</v>
      </c>
      <c r="B12" s="41">
        <f>SUM(B10:B11)</f>
        <v>30671.74</v>
      </c>
      <c r="C12" s="41">
        <f t="shared" ref="C12:D12" si="0">SUM(C10:C11)</f>
        <v>46542.67</v>
      </c>
      <c r="D12" s="41">
        <f t="shared" si="0"/>
        <v>77214.41</v>
      </c>
      <c r="E12" s="40">
        <f>SUM(D12/D32)*100</f>
        <v>85.489332878065809</v>
      </c>
      <c r="F12" s="27">
        <f>SUM(F10:F11)</f>
        <v>120852.81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SUM(D16/D32)*100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90</v>
      </c>
      <c r="B18" s="24">
        <v>9348.11</v>
      </c>
      <c r="C18" s="24"/>
      <c r="D18" s="24">
        <f>SUM(B18:C18)</f>
        <v>9348.11</v>
      </c>
      <c r="E18" s="40"/>
      <c r="F18" s="24">
        <v>8759.51</v>
      </c>
      <c r="G18" s="6"/>
    </row>
    <row r="19" spans="1:7" x14ac:dyDescent="0.2">
      <c r="A19" s="23" t="s">
        <v>92</v>
      </c>
      <c r="B19" s="24">
        <v>0</v>
      </c>
      <c r="C19" s="24"/>
      <c r="D19" s="24">
        <f t="shared" ref="D19:D20" si="1">SUM(B19:C19)</f>
        <v>0</v>
      </c>
      <c r="E19" s="40"/>
      <c r="F19" s="24">
        <f>4266+1200</f>
        <v>5466</v>
      </c>
      <c r="G19" s="6"/>
    </row>
    <row r="20" spans="1:7" x14ac:dyDescent="0.2">
      <c r="A20" s="23" t="s">
        <v>123</v>
      </c>
      <c r="B20" s="24">
        <v>0</v>
      </c>
      <c r="C20" s="24"/>
      <c r="D20" s="24">
        <f t="shared" si="1"/>
        <v>0</v>
      </c>
      <c r="E20" s="40"/>
      <c r="F20" s="24">
        <f>10000+2204.19</f>
        <v>12204.19</v>
      </c>
      <c r="G20" s="6"/>
    </row>
    <row r="21" spans="1:7" x14ac:dyDescent="0.2">
      <c r="A21" s="23" t="s">
        <v>122</v>
      </c>
      <c r="B21" s="24">
        <v>0</v>
      </c>
      <c r="C21" s="24"/>
      <c r="D21" s="24">
        <v>0</v>
      </c>
      <c r="E21" s="40"/>
      <c r="F21" s="24">
        <v>35000</v>
      </c>
      <c r="G21" s="6"/>
    </row>
    <row r="22" spans="1:7" x14ac:dyDescent="0.2">
      <c r="A22" s="23" t="s">
        <v>4</v>
      </c>
      <c r="B22" s="24">
        <v>0</v>
      </c>
      <c r="C22" s="24"/>
      <c r="D22" s="24">
        <f>SUM(B22:C22)</f>
        <v>0</v>
      </c>
      <c r="E22" s="40"/>
      <c r="F22" s="24">
        <f>6.56+198.8</f>
        <v>205.36</v>
      </c>
      <c r="G22" s="6"/>
    </row>
    <row r="23" spans="1:7" x14ac:dyDescent="0.2">
      <c r="A23" s="38" t="s">
        <v>25</v>
      </c>
      <c r="B23" s="41">
        <f>SUM(B18:B22)</f>
        <v>9348.11</v>
      </c>
      <c r="C23" s="41">
        <f>SUM(C18:C22)</f>
        <v>0</v>
      </c>
      <c r="D23" s="41">
        <f>SUM(D18:D22)</f>
        <v>9348.11</v>
      </c>
      <c r="E23" s="40">
        <f>SUM(D23/D32)*100</f>
        <v>10.349929340530812</v>
      </c>
      <c r="F23" s="27">
        <f>SUM(F18:F22)</f>
        <v>61635.06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38" t="s">
        <v>27</v>
      </c>
      <c r="B26" s="41">
        <f>SUM(B25)</f>
        <v>0</v>
      </c>
      <c r="C26" s="41">
        <f>SUM(C25)</f>
        <v>0</v>
      </c>
      <c r="D26" s="41">
        <f>SUM(B26:C26)</f>
        <v>0</v>
      </c>
      <c r="E26" s="40">
        <f>SUM(D26/D32)*100</f>
        <v>0</v>
      </c>
      <c r="F26" s="27">
        <f>SUM(F25)</f>
        <v>0</v>
      </c>
      <c r="G26" s="6"/>
    </row>
    <row r="27" spans="1:7" x14ac:dyDescent="0.2">
      <c r="A27" s="38" t="s">
        <v>28</v>
      </c>
      <c r="B27" s="27"/>
      <c r="C27" s="24"/>
      <c r="D27" s="24"/>
      <c r="E27" s="40"/>
      <c r="F27" s="24"/>
      <c r="G27" s="6"/>
    </row>
    <row r="28" spans="1:7" x14ac:dyDescent="0.2">
      <c r="A28" s="23" t="s">
        <v>37</v>
      </c>
      <c r="B28" s="24">
        <v>1879</v>
      </c>
      <c r="C28" s="24">
        <v>1879</v>
      </c>
      <c r="D28" s="24">
        <f>SUM(B28:C28)</f>
        <v>3758</v>
      </c>
      <c r="E28" s="40"/>
      <c r="F28" s="24">
        <v>3455.95</v>
      </c>
      <c r="G28" s="6"/>
    </row>
    <row r="29" spans="1:7" x14ac:dyDescent="0.2">
      <c r="A29" s="23"/>
      <c r="B29" s="24">
        <v>0</v>
      </c>
      <c r="C29" s="24"/>
      <c r="D29" s="24"/>
      <c r="E29" s="40"/>
      <c r="F29" s="24"/>
      <c r="G29" s="6"/>
    </row>
    <row r="30" spans="1:7" x14ac:dyDescent="0.2">
      <c r="A30" s="38" t="s">
        <v>29</v>
      </c>
      <c r="B30" s="41">
        <f>SUM(B28:B29)</f>
        <v>1879</v>
      </c>
      <c r="C30" s="41">
        <f t="shared" ref="C30:D30" si="2">SUM(C28:C29)</f>
        <v>1879</v>
      </c>
      <c r="D30" s="41">
        <f t="shared" si="2"/>
        <v>3758</v>
      </c>
      <c r="E30" s="40">
        <f>SUM(D30/D32)*100</f>
        <v>4.1607377814033839</v>
      </c>
      <c r="F30" s="27">
        <f>SUM(F28:F29)</f>
        <v>3455.95</v>
      </c>
      <c r="G30" s="6"/>
    </row>
    <row r="31" spans="1:7" x14ac:dyDescent="0.2">
      <c r="A31" s="38"/>
      <c r="B31" s="27"/>
      <c r="C31" s="24"/>
      <c r="D31" s="27"/>
      <c r="E31" s="40"/>
      <c r="F31" s="24"/>
      <c r="G31" s="6"/>
    </row>
    <row r="32" spans="1:7" x14ac:dyDescent="0.2">
      <c r="A32" s="38" t="s">
        <v>30</v>
      </c>
      <c r="B32" s="41">
        <f>SUM(B30,B26,B23,B16,B12)</f>
        <v>41898.850000000006</v>
      </c>
      <c r="C32" s="41">
        <f>SUM(C30,C26,C23,C16,C12)</f>
        <v>48421.67</v>
      </c>
      <c r="D32" s="41">
        <f>SUM(B32:C32)</f>
        <v>90320.52</v>
      </c>
      <c r="E32" s="40">
        <f>SUM(E12:E30)</f>
        <v>100</v>
      </c>
      <c r="F32" s="27">
        <f>F30+F26+F23+F16+F12</f>
        <v>185943.82</v>
      </c>
      <c r="G32" s="6"/>
    </row>
    <row r="33" spans="1:7" x14ac:dyDescent="0.2">
      <c r="A33" s="9"/>
      <c r="B33" s="19"/>
      <c r="C33" s="19"/>
      <c r="D33" s="19"/>
      <c r="E33" s="4"/>
      <c r="F33" s="20"/>
      <c r="G33" s="6"/>
    </row>
    <row r="34" spans="1:7" x14ac:dyDescent="0.2">
      <c r="A34" s="9"/>
      <c r="B34" s="19"/>
      <c r="C34" s="19"/>
      <c r="D34" s="19"/>
      <c r="E34" s="4"/>
      <c r="F34" s="20"/>
      <c r="G34" s="6"/>
    </row>
    <row r="35" spans="1:7" x14ac:dyDescent="0.2">
      <c r="A35" s="9"/>
      <c r="B35" s="19"/>
      <c r="C35" s="19"/>
      <c r="D35" s="19"/>
      <c r="E35" s="4"/>
      <c r="F35" s="20"/>
      <c r="G35" s="6"/>
    </row>
    <row r="36" spans="1:7" x14ac:dyDescent="0.2">
      <c r="A36" s="9"/>
      <c r="B36" s="19"/>
      <c r="C36" s="19"/>
      <c r="D36" s="19"/>
      <c r="E36" s="4"/>
      <c r="F36" s="20"/>
      <c r="G36" s="6"/>
    </row>
    <row r="37" spans="1:7" x14ac:dyDescent="0.2">
      <c r="A37" s="9"/>
      <c r="B37" s="19"/>
      <c r="C37" s="19"/>
      <c r="D37" s="19"/>
      <c r="E37" s="4"/>
      <c r="F37" s="20"/>
      <c r="G37" s="6"/>
    </row>
    <row r="38" spans="1:7" x14ac:dyDescent="0.2">
      <c r="A38" s="9"/>
      <c r="B38" s="19"/>
      <c r="C38" s="19"/>
      <c r="D38" s="19"/>
      <c r="E38" s="4"/>
      <c r="F38" s="20"/>
      <c r="G38" s="6"/>
    </row>
    <row r="39" spans="1:7" x14ac:dyDescent="0.2">
      <c r="A39" s="9"/>
      <c r="B39" s="19"/>
      <c r="C39" s="19"/>
      <c r="D39" s="19"/>
      <c r="E39" s="4"/>
      <c r="F39" s="20"/>
      <c r="G39" s="6"/>
    </row>
    <row r="40" spans="1:7" x14ac:dyDescent="0.2">
      <c r="A40" s="9"/>
      <c r="B40" s="19"/>
      <c r="C40" s="19"/>
      <c r="D40" s="19"/>
      <c r="E40" s="4"/>
      <c r="F40" s="20"/>
      <c r="G40" s="6"/>
    </row>
    <row r="41" spans="1:7" x14ac:dyDescent="0.2">
      <c r="A41" s="9"/>
      <c r="B41" s="19"/>
      <c r="C41" s="19"/>
      <c r="D41" s="19"/>
      <c r="E41" s="4"/>
      <c r="F41" s="20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137</v>
      </c>
      <c r="B44" s="41"/>
      <c r="C44" s="41"/>
      <c r="D44" s="41"/>
      <c r="E44" s="43"/>
      <c r="F44" s="24"/>
      <c r="G44" s="6"/>
    </row>
    <row r="45" spans="1:7" x14ac:dyDescent="0.2">
      <c r="A45" s="45" t="s">
        <v>158</v>
      </c>
      <c r="B45" s="24">
        <v>355612.07</v>
      </c>
      <c r="C45" s="24">
        <f>467296.52-B45</f>
        <v>111684.45000000001</v>
      </c>
      <c r="D45" s="24">
        <f>SUM(B45:C45)</f>
        <v>467296.52</v>
      </c>
      <c r="E45" s="40"/>
      <c r="F45" s="24">
        <f>2940393.5+19031.95</f>
        <v>2959425.45</v>
      </c>
      <c r="G45" s="6"/>
    </row>
    <row r="46" spans="1:7" x14ac:dyDescent="0.2">
      <c r="A46" s="45" t="s">
        <v>160</v>
      </c>
      <c r="B46" s="24">
        <v>26115.8</v>
      </c>
      <c r="C46" s="24">
        <f>28664.8-B46</f>
        <v>2549</v>
      </c>
      <c r="D46" s="24">
        <f t="shared" ref="D46:D51" si="3">SUM(B46:C46)</f>
        <v>28664.799999999999</v>
      </c>
      <c r="E46" s="40"/>
      <c r="F46" s="24">
        <v>299748.40000000002</v>
      </c>
      <c r="G46" s="6"/>
    </row>
    <row r="47" spans="1:7" x14ac:dyDescent="0.2">
      <c r="A47" s="45" t="s">
        <v>161</v>
      </c>
      <c r="B47" s="24">
        <v>162268.49</v>
      </c>
      <c r="C47" s="24">
        <f>166173.49-B47</f>
        <v>3905</v>
      </c>
      <c r="D47" s="24">
        <f t="shared" si="3"/>
        <v>166173.49</v>
      </c>
      <c r="E47" s="40"/>
      <c r="F47" s="24">
        <v>159695.70000000001</v>
      </c>
      <c r="G47" s="6"/>
    </row>
    <row r="48" spans="1:7" x14ac:dyDescent="0.2">
      <c r="A48" s="45" t="s">
        <v>162</v>
      </c>
      <c r="B48" s="24">
        <v>3530815.8</v>
      </c>
      <c r="C48" s="24">
        <f>5880046.07-B48</f>
        <v>2349230.2700000005</v>
      </c>
      <c r="D48" s="24">
        <f t="shared" si="3"/>
        <v>5880046.0700000003</v>
      </c>
      <c r="E48" s="40"/>
      <c r="F48" s="24">
        <v>6540319.2999999998</v>
      </c>
      <c r="G48" s="6"/>
    </row>
    <row r="49" spans="1:7" x14ac:dyDescent="0.2">
      <c r="A49" s="45" t="s">
        <v>156</v>
      </c>
      <c r="B49" s="24">
        <v>1286617.8700000001</v>
      </c>
      <c r="C49" s="24">
        <f>3182994.38-B49</f>
        <v>1896376.5099999998</v>
      </c>
      <c r="D49" s="24">
        <f t="shared" si="3"/>
        <v>3182994.38</v>
      </c>
      <c r="E49" s="40"/>
      <c r="F49" s="24">
        <v>0</v>
      </c>
      <c r="G49" s="6"/>
    </row>
    <row r="50" spans="1:7" x14ac:dyDescent="0.2">
      <c r="A50" s="45" t="s">
        <v>163</v>
      </c>
      <c r="B50" s="24">
        <v>17568.97</v>
      </c>
      <c r="C50" s="24">
        <f>22062.95-B50</f>
        <v>4493.9799999999996</v>
      </c>
      <c r="D50" s="24">
        <f t="shared" si="3"/>
        <v>22062.95</v>
      </c>
      <c r="E50" s="40"/>
      <c r="F50" s="24">
        <v>21854.6</v>
      </c>
      <c r="G50" s="6"/>
    </row>
    <row r="51" spans="1:7" x14ac:dyDescent="0.2">
      <c r="A51" s="45" t="s">
        <v>157</v>
      </c>
      <c r="B51" s="24">
        <v>41672.959999999999</v>
      </c>
      <c r="C51" s="24">
        <v>49241.77</v>
      </c>
      <c r="D51" s="24">
        <f t="shared" si="3"/>
        <v>90914.73</v>
      </c>
      <c r="E51" s="40"/>
      <c r="F51" s="24">
        <v>292747.44</v>
      </c>
      <c r="G51" s="6"/>
    </row>
    <row r="52" spans="1:7" x14ac:dyDescent="0.2">
      <c r="A52" s="42" t="s">
        <v>131</v>
      </c>
      <c r="B52" s="41">
        <f>SUM(B45:B51)</f>
        <v>5420671.959999999</v>
      </c>
      <c r="C52" s="41">
        <f>SUM(C45:C51)</f>
        <v>4417480.9800000004</v>
      </c>
      <c r="D52" s="41">
        <f>SUM(D45:D51)</f>
        <v>9838152.9400000013</v>
      </c>
      <c r="E52" s="40">
        <f>(D52/D67)*100</f>
        <v>96.997429908775359</v>
      </c>
      <c r="F52" s="27">
        <f>SUM(F45:F51)</f>
        <v>10273790.889999999</v>
      </c>
      <c r="G52" s="6"/>
    </row>
    <row r="53" spans="1:7" x14ac:dyDescent="0.2">
      <c r="A53" s="46"/>
      <c r="B53" s="41"/>
      <c r="C53" s="41"/>
      <c r="D53" s="27"/>
      <c r="E53" s="43"/>
      <c r="F53" s="24"/>
      <c r="G53" s="6"/>
    </row>
    <row r="54" spans="1:7" x14ac:dyDescent="0.2">
      <c r="A54" s="44" t="s">
        <v>134</v>
      </c>
      <c r="B54" s="41"/>
      <c r="C54" s="41"/>
      <c r="D54" s="41"/>
      <c r="E54" s="43"/>
      <c r="F54" s="24"/>
      <c r="G54" s="6"/>
    </row>
    <row r="55" spans="1:7" x14ac:dyDescent="0.2">
      <c r="A55" s="45" t="s">
        <v>164</v>
      </c>
      <c r="B55" s="24">
        <v>129120.97</v>
      </c>
      <c r="C55" s="24">
        <f>147460.83-B5</f>
        <v>147460.82999999999</v>
      </c>
      <c r="D55" s="24">
        <f>SUM(B55:C55)</f>
        <v>276581.8</v>
      </c>
      <c r="E55" s="40"/>
      <c r="F55" s="24">
        <v>164483.94</v>
      </c>
      <c r="G55" s="6"/>
    </row>
    <row r="56" spans="1:7" x14ac:dyDescent="0.2">
      <c r="A56" s="44" t="s">
        <v>135</v>
      </c>
      <c r="B56" s="41">
        <f>SUM(B55)</f>
        <v>129120.97</v>
      </c>
      <c r="C56" s="41">
        <f>SUM(C55)</f>
        <v>147460.82999999999</v>
      </c>
      <c r="D56" s="27">
        <f>SUM(B56:C56)</f>
        <v>276581.8</v>
      </c>
      <c r="E56" s="51">
        <f>(D56/D67)*100</f>
        <v>2.7269065568666511</v>
      </c>
      <c r="F56" s="27">
        <f>SUM(F55)</f>
        <v>164483.94</v>
      </c>
      <c r="G56" s="6"/>
    </row>
    <row r="57" spans="1:7" x14ac:dyDescent="0.2">
      <c r="A57" s="46"/>
      <c r="B57" s="41"/>
      <c r="C57" s="41"/>
      <c r="D57" s="27"/>
      <c r="E57" s="43"/>
      <c r="F57" s="24"/>
      <c r="G57" s="6"/>
    </row>
    <row r="58" spans="1:7" x14ac:dyDescent="0.2">
      <c r="A58" s="44" t="s">
        <v>128</v>
      </c>
      <c r="B58" s="41"/>
      <c r="C58" s="41"/>
      <c r="D58" s="41"/>
      <c r="E58" s="43"/>
      <c r="F58" s="24"/>
      <c r="G58" s="6"/>
    </row>
    <row r="59" spans="1:7" x14ac:dyDescent="0.2">
      <c r="A59" s="45" t="s">
        <v>128</v>
      </c>
      <c r="B59" s="24">
        <v>964.04</v>
      </c>
      <c r="C59" s="24">
        <v>0</v>
      </c>
      <c r="D59" s="24">
        <f>SUM(B59:C59)</f>
        <v>964.04</v>
      </c>
      <c r="E59" s="40"/>
      <c r="F59" s="24">
        <v>7101.96</v>
      </c>
      <c r="G59" s="6"/>
    </row>
    <row r="60" spans="1:7" x14ac:dyDescent="0.2">
      <c r="A60" s="45" t="s">
        <v>165</v>
      </c>
      <c r="B60" s="24">
        <v>23980.02</v>
      </c>
      <c r="C60" s="24">
        <v>0</v>
      </c>
      <c r="D60" s="24">
        <f t="shared" ref="D60" si="4">SUM(B60:C60)</f>
        <v>23980.02</v>
      </c>
      <c r="E60" s="40"/>
      <c r="F60" s="24">
        <v>0</v>
      </c>
      <c r="G60" s="6"/>
    </row>
    <row r="61" spans="1:7" x14ac:dyDescent="0.2">
      <c r="A61" s="44" t="s">
        <v>129</v>
      </c>
      <c r="B61" s="41">
        <f>SUM(B59:B60)</f>
        <v>24944.06</v>
      </c>
      <c r="C61" s="41">
        <f>SUM(C59:C60)</f>
        <v>0</v>
      </c>
      <c r="D61" s="41">
        <f>SUM(D59:D60)</f>
        <v>24944.06</v>
      </c>
      <c r="E61" s="40">
        <f>(D61/D67)*100</f>
        <v>0.24593129688531626</v>
      </c>
      <c r="F61" s="27">
        <f>SUM(F59:F60)</f>
        <v>7101.96</v>
      </c>
      <c r="G61" s="6"/>
    </row>
    <row r="62" spans="1:7" x14ac:dyDescent="0.2">
      <c r="A62" s="46"/>
      <c r="B62" s="41"/>
      <c r="C62" s="41"/>
      <c r="D62" s="27"/>
      <c r="E62" s="43"/>
      <c r="F62" s="24"/>
      <c r="G62" s="6"/>
    </row>
    <row r="63" spans="1:7" x14ac:dyDescent="0.2">
      <c r="A63" s="44" t="s">
        <v>127</v>
      </c>
      <c r="B63" s="41"/>
      <c r="C63" s="41"/>
      <c r="D63" s="41"/>
      <c r="E63" s="43"/>
      <c r="F63" s="24"/>
      <c r="G63" s="6"/>
    </row>
    <row r="64" spans="1:7" x14ac:dyDescent="0.2">
      <c r="A64" s="45" t="s">
        <v>127</v>
      </c>
      <c r="B64" s="24">
        <v>3015.65</v>
      </c>
      <c r="C64" s="24">
        <v>0</v>
      </c>
      <c r="D64" s="24">
        <f>SUM(B64:C64)</f>
        <v>3015.65</v>
      </c>
      <c r="E64" s="40"/>
      <c r="F64" s="24"/>
      <c r="G64" s="6"/>
    </row>
    <row r="65" spans="1:7" x14ac:dyDescent="0.2">
      <c r="A65" s="44" t="s">
        <v>144</v>
      </c>
      <c r="B65" s="41">
        <f>SUM(B64)</f>
        <v>3015.65</v>
      </c>
      <c r="C65" s="41">
        <f>SUM(C64)</f>
        <v>0</v>
      </c>
      <c r="D65" s="27">
        <f>SUM(B65:C65)</f>
        <v>3015.65</v>
      </c>
      <c r="E65" s="51">
        <f>(D65/D67)*100</f>
        <v>2.9732237472656974E-2</v>
      </c>
      <c r="F65" s="24"/>
      <c r="G65" s="6"/>
    </row>
    <row r="66" spans="1:7" x14ac:dyDescent="0.2">
      <c r="A66" s="44"/>
      <c r="B66" s="41"/>
      <c r="C66" s="41"/>
      <c r="D66" s="27"/>
      <c r="E66" s="51"/>
      <c r="F66" s="24"/>
      <c r="G66" s="6"/>
    </row>
    <row r="67" spans="1:7" x14ac:dyDescent="0.2">
      <c r="A67" s="44" t="s">
        <v>60</v>
      </c>
      <c r="B67" s="41">
        <f>B52+B56+B61+B65</f>
        <v>5577752.6399999987</v>
      </c>
      <c r="C67" s="41">
        <f t="shared" ref="C67" si="5">C52+C56+C61+C65</f>
        <v>4564941.8100000005</v>
      </c>
      <c r="D67" s="41">
        <f>D52+D56+D61+D65</f>
        <v>10142694.450000003</v>
      </c>
      <c r="E67" s="49">
        <f>E56+E61+E52+E65</f>
        <v>99.999999999999986</v>
      </c>
      <c r="F67" s="41">
        <f>F56+F52+F61+F65</f>
        <v>10445376.789999999</v>
      </c>
      <c r="G67" s="6"/>
    </row>
    <row r="68" spans="1:7" x14ac:dyDescent="0.2">
      <c r="A68" s="50"/>
      <c r="B68" s="52"/>
      <c r="C68" s="52"/>
      <c r="D68" s="52"/>
      <c r="E68" s="53"/>
      <c r="F68" s="50"/>
    </row>
    <row r="69" spans="1:7" x14ac:dyDescent="0.2">
      <c r="A69" s="26" t="s">
        <v>32</v>
      </c>
      <c r="B69" s="54">
        <f>B67-B32</f>
        <v>5535853.7899999991</v>
      </c>
      <c r="C69" s="54">
        <f t="shared" ref="C69:D69" si="6">C67-C32</f>
        <v>4516520.1400000006</v>
      </c>
      <c r="D69" s="54">
        <f t="shared" si="6"/>
        <v>10052373.930000003</v>
      </c>
      <c r="E69" s="54">
        <f>E67-E32</f>
        <v>0</v>
      </c>
      <c r="F69" s="54">
        <f>F67-F32</f>
        <v>10259432.969999999</v>
      </c>
    </row>
    <row r="70" spans="1:7" x14ac:dyDescent="0.2">
      <c r="B70" s="15"/>
      <c r="C70" s="15"/>
      <c r="D70" s="15"/>
    </row>
    <row r="71" spans="1:7" x14ac:dyDescent="0.2">
      <c r="B71" s="15"/>
      <c r="C71" s="15"/>
      <c r="D71" s="15"/>
    </row>
    <row r="72" spans="1:7" x14ac:dyDescent="0.2">
      <c r="B72" s="15"/>
      <c r="C72" s="15"/>
      <c r="D72" s="15"/>
    </row>
    <row r="73" spans="1:7" x14ac:dyDescent="0.2">
      <c r="B73" s="15"/>
      <c r="C73" s="15"/>
      <c r="D73" s="15"/>
    </row>
    <row r="74" spans="1:7" x14ac:dyDescent="0.2">
      <c r="B74" s="15"/>
      <c r="C74" s="15"/>
      <c r="D74" s="15"/>
    </row>
    <row r="75" spans="1:7" x14ac:dyDescent="0.2">
      <c r="B75" s="15"/>
      <c r="C75" s="15"/>
      <c r="D75" s="15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  <row r="296" spans="2:4" x14ac:dyDescent="0.2">
      <c r="B296" s="15"/>
      <c r="C296" s="15"/>
      <c r="D296" s="15"/>
    </row>
    <row r="297" spans="2:4" x14ac:dyDescent="0.2">
      <c r="B297" s="15"/>
      <c r="C297" s="15"/>
      <c r="D297" s="15"/>
    </row>
    <row r="298" spans="2:4" x14ac:dyDescent="0.2">
      <c r="B298" s="15"/>
      <c r="C298" s="15"/>
      <c r="D298" s="15"/>
    </row>
    <row r="299" spans="2:4" x14ac:dyDescent="0.2">
      <c r="B299" s="15"/>
      <c r="C299" s="15"/>
      <c r="D299" s="15"/>
    </row>
    <row r="300" spans="2:4" x14ac:dyDescent="0.2">
      <c r="B300" s="15"/>
      <c r="C300" s="15"/>
      <c r="D300" s="15"/>
    </row>
    <row r="301" spans="2:4" x14ac:dyDescent="0.2">
      <c r="B301" s="15"/>
      <c r="C301" s="15"/>
      <c r="D30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H271"/>
  <sheetViews>
    <sheetView topLeftCell="A13" workbookViewId="0">
      <selection activeCell="A41" sqref="A41:XFD52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108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SUM(D12/D33)*100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SUM(D16/D33)*100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91</v>
      </c>
      <c r="B18" s="24">
        <v>1587.53</v>
      </c>
      <c r="C18" s="24"/>
      <c r="D18" s="24">
        <f>SUM(B18:C18)</f>
        <v>1587.53</v>
      </c>
      <c r="E18" s="40"/>
      <c r="F18" s="24">
        <v>821.27</v>
      </c>
      <c r="G18" s="6"/>
    </row>
    <row r="19" spans="1:7" x14ac:dyDescent="0.2">
      <c r="A19" s="23" t="s">
        <v>1</v>
      </c>
      <c r="B19" s="24">
        <f>1837.57/2</f>
        <v>918.78499999999997</v>
      </c>
      <c r="C19" s="24"/>
      <c r="D19" s="24">
        <f>SUM(B19:C19)</f>
        <v>918.78499999999997</v>
      </c>
      <c r="E19" s="40"/>
      <c r="F19" s="24">
        <f>2770.71/2</f>
        <v>1385.355</v>
      </c>
      <c r="G19" s="6"/>
    </row>
    <row r="20" spans="1:7" x14ac:dyDescent="0.2">
      <c r="A20" s="23" t="s">
        <v>3</v>
      </c>
      <c r="B20" s="24">
        <v>2285.42</v>
      </c>
      <c r="C20" s="24"/>
      <c r="D20" s="24">
        <f t="shared" ref="D20:D22" si="1">SUM(B20:C20)</f>
        <v>2285.42</v>
      </c>
      <c r="E20" s="40"/>
      <c r="F20" s="24">
        <f>4080.21/2</f>
        <v>2040.105</v>
      </c>
      <c r="G20" s="6"/>
    </row>
    <row r="21" spans="1:7" x14ac:dyDescent="0.2">
      <c r="A21" s="23" t="s">
        <v>182</v>
      </c>
      <c r="B21" s="24">
        <v>599.19000000000005</v>
      </c>
      <c r="C21" s="24"/>
      <c r="D21" s="24">
        <f t="shared" si="1"/>
        <v>599.19000000000005</v>
      </c>
      <c r="E21" s="40"/>
      <c r="F21" s="24">
        <v>841.39</v>
      </c>
      <c r="G21" s="6"/>
    </row>
    <row r="22" spans="1:7" x14ac:dyDescent="0.2">
      <c r="A22" s="23" t="s">
        <v>103</v>
      </c>
      <c r="B22" s="24">
        <v>78851.539999999994</v>
      </c>
      <c r="C22" s="24">
        <v>65603.789999999994</v>
      </c>
      <c r="D22" s="24">
        <f t="shared" si="1"/>
        <v>144455.32999999999</v>
      </c>
      <c r="E22" s="40"/>
      <c r="F22" s="24">
        <v>167728.12</v>
      </c>
      <c r="G22" s="6"/>
    </row>
    <row r="23" spans="1:7" x14ac:dyDescent="0.2">
      <c r="A23" s="23" t="s">
        <v>92</v>
      </c>
      <c r="B23" s="24">
        <v>1587.17</v>
      </c>
      <c r="C23" s="24"/>
      <c r="D23" s="24">
        <f>SUM(B23:C23)</f>
        <v>1587.17</v>
      </c>
      <c r="E23" s="40"/>
      <c r="F23" s="24">
        <v>1625.45</v>
      </c>
      <c r="G23" s="6"/>
    </row>
    <row r="24" spans="1:7" x14ac:dyDescent="0.2">
      <c r="A24" s="38" t="s">
        <v>25</v>
      </c>
      <c r="B24" s="41">
        <f>SUM(B18:B23)</f>
        <v>85829.634999999995</v>
      </c>
      <c r="C24" s="41">
        <f>SUM(C18:C23)</f>
        <v>65603.789999999994</v>
      </c>
      <c r="D24" s="41">
        <f>SUM(D18:D23)</f>
        <v>151433.42499999999</v>
      </c>
      <c r="E24" s="40">
        <f>SUM(D24/D33)*100</f>
        <v>99.934683935580765</v>
      </c>
      <c r="F24" s="27">
        <f>SUM(F18:F23)</f>
        <v>174441.69</v>
      </c>
      <c r="G24" s="6"/>
    </row>
    <row r="25" spans="1:7" x14ac:dyDescent="0.2">
      <c r="A25" s="38" t="s">
        <v>26</v>
      </c>
      <c r="B25" s="41"/>
      <c r="C25" s="24"/>
      <c r="D25" s="24"/>
      <c r="E25" s="40"/>
      <c r="F25" s="24"/>
      <c r="G25" s="6"/>
    </row>
    <row r="26" spans="1:7" x14ac:dyDescent="0.2">
      <c r="A26" s="23"/>
      <c r="B26" s="24">
        <v>0</v>
      </c>
      <c r="C26" s="24"/>
      <c r="D26" s="24">
        <f>SUM(B26:C26)</f>
        <v>0</v>
      </c>
      <c r="E26" s="40"/>
      <c r="F26" s="24"/>
      <c r="G26" s="6"/>
    </row>
    <row r="27" spans="1:7" x14ac:dyDescent="0.2">
      <c r="A27" s="38" t="s">
        <v>27</v>
      </c>
      <c r="B27" s="41">
        <f>SUM(B26)</f>
        <v>0</v>
      </c>
      <c r="C27" s="41">
        <f>SUM(C26)</f>
        <v>0</v>
      </c>
      <c r="D27" s="41">
        <f>SUM(B27:C27)</f>
        <v>0</v>
      </c>
      <c r="E27" s="40">
        <f>SUM(D27/D33)*100</f>
        <v>0</v>
      </c>
      <c r="F27" s="27">
        <f>SUM(F26)</f>
        <v>0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 t="s">
        <v>187</v>
      </c>
      <c r="B29" s="24">
        <f>197.95/2</f>
        <v>98.974999999999994</v>
      </c>
      <c r="C29" s="24"/>
      <c r="D29" s="24">
        <f>SUM(B29:C29)</f>
        <v>98.974999999999994</v>
      </c>
      <c r="E29" s="40"/>
      <c r="F29" s="24">
        <v>188.5</v>
      </c>
      <c r="G29" s="6"/>
    </row>
    <row r="30" spans="1:7" x14ac:dyDescent="0.2">
      <c r="A30" s="23"/>
      <c r="B30" s="24">
        <v>0</v>
      </c>
      <c r="C30" s="24"/>
      <c r="D30" s="24"/>
      <c r="E30" s="40"/>
      <c r="F30" s="24"/>
      <c r="G30" s="6"/>
    </row>
    <row r="31" spans="1:7" x14ac:dyDescent="0.2">
      <c r="A31" s="38" t="s">
        <v>29</v>
      </c>
      <c r="B31" s="41">
        <f>SUM(B29:B30)</f>
        <v>98.974999999999994</v>
      </c>
      <c r="C31" s="41">
        <f t="shared" ref="C31:D31" si="2">SUM(C29:C30)</f>
        <v>0</v>
      </c>
      <c r="D31" s="41">
        <f t="shared" si="2"/>
        <v>98.974999999999994</v>
      </c>
      <c r="E31" s="40">
        <f>SUM(D31/D33)*100</f>
        <v>6.5316064419226508E-2</v>
      </c>
      <c r="F31" s="27">
        <f>SUM(F29:F30)</f>
        <v>188.5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7" x14ac:dyDescent="0.2">
      <c r="A33" s="38" t="s">
        <v>30</v>
      </c>
      <c r="B33" s="41">
        <f>SUM(B31,B27,B24,B16,B12)</f>
        <v>85928.61</v>
      </c>
      <c r="C33" s="41">
        <f>SUM(C31,C27,C24,C16,C12)</f>
        <v>65603.789999999994</v>
      </c>
      <c r="D33" s="41">
        <f>SUM(B33:C33)</f>
        <v>151532.4</v>
      </c>
      <c r="E33" s="40">
        <f>SUM(E12:E31)</f>
        <v>99.999999999999986</v>
      </c>
      <c r="F33" s="27">
        <f>F31+F27+F24+F16+F12</f>
        <v>174630.19</v>
      </c>
      <c r="G33" s="6"/>
    </row>
    <row r="34" spans="1:7" x14ac:dyDescent="0.2">
      <c r="A34" s="23"/>
      <c r="B34" s="24"/>
      <c r="C34" s="24"/>
      <c r="D34" s="24"/>
      <c r="E34" s="40"/>
      <c r="F34" s="24"/>
      <c r="G34" s="6"/>
    </row>
    <row r="35" spans="1:7" x14ac:dyDescent="0.2">
      <c r="A35" s="42" t="s">
        <v>31</v>
      </c>
      <c r="B35" s="41"/>
      <c r="C35" s="41"/>
      <c r="D35" s="41"/>
      <c r="E35" s="43"/>
      <c r="F35" s="24"/>
      <c r="G35" s="6"/>
    </row>
    <row r="36" spans="1:7" x14ac:dyDescent="0.2">
      <c r="A36" s="23"/>
      <c r="B36" s="24"/>
      <c r="C36" s="24"/>
      <c r="D36" s="24"/>
      <c r="E36" s="40"/>
      <c r="F36" s="24"/>
      <c r="G36" s="6"/>
    </row>
    <row r="37" spans="1:7" x14ac:dyDescent="0.2">
      <c r="A37" s="26" t="s">
        <v>32</v>
      </c>
      <c r="B37" s="27">
        <f t="shared" ref="B37:F37" si="3">B35-B33</f>
        <v>-85928.61</v>
      </c>
      <c r="C37" s="27">
        <f t="shared" si="3"/>
        <v>-65603.789999999994</v>
      </c>
      <c r="D37" s="27">
        <f t="shared" si="3"/>
        <v>-151532.4</v>
      </c>
      <c r="E37" s="47">
        <f t="shared" si="3"/>
        <v>-99.999999999999986</v>
      </c>
      <c r="F37" s="27">
        <f t="shared" si="3"/>
        <v>-174630.19</v>
      </c>
      <c r="G37" s="6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H281"/>
  <sheetViews>
    <sheetView tabSelected="1" topLeftCell="A19" workbookViewId="0">
      <selection activeCell="C26" sqref="C2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109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43513.61</v>
      </c>
      <c r="C10" s="24">
        <v>54238.54</v>
      </c>
      <c r="D10" s="24">
        <f>SUM(B10:C10)</f>
        <v>97752.15</v>
      </c>
      <c r="E10" s="40"/>
      <c r="F10" s="24">
        <v>92780.66</v>
      </c>
      <c r="G10" s="6"/>
    </row>
    <row r="11" spans="1:8" x14ac:dyDescent="0.2">
      <c r="A11" s="23" t="s">
        <v>34</v>
      </c>
      <c r="B11" s="24">
        <v>12948.56</v>
      </c>
      <c r="C11" s="24">
        <v>15046.32</v>
      </c>
      <c r="D11" s="24">
        <f>SUM(B11:C11)</f>
        <v>27994.879999999997</v>
      </c>
      <c r="E11" s="40"/>
      <c r="F11" s="24">
        <v>27628.51</v>
      </c>
      <c r="G11" s="6"/>
    </row>
    <row r="12" spans="1:8" x14ac:dyDescent="0.2">
      <c r="A12" s="38" t="s">
        <v>19</v>
      </c>
      <c r="B12" s="41">
        <f>SUM(B10:B11)</f>
        <v>56462.17</v>
      </c>
      <c r="C12" s="41">
        <f t="shared" ref="C12:D12" si="0">SUM(C10:C11)</f>
        <v>69284.86</v>
      </c>
      <c r="D12" s="41">
        <f t="shared" si="0"/>
        <v>125747.03</v>
      </c>
      <c r="E12" s="40">
        <f>SUM(D12/D29)*100</f>
        <v>63.151939269852932</v>
      </c>
      <c r="F12" s="27">
        <f>SUM(F10:F11)</f>
        <v>120409.17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93</v>
      </c>
      <c r="B18" s="24">
        <v>367.88</v>
      </c>
      <c r="C18" s="24"/>
      <c r="D18" s="24">
        <f>SUM(B18:C18)</f>
        <v>367.88</v>
      </c>
      <c r="E18" s="40"/>
      <c r="F18" s="24">
        <v>3075.62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367.88</v>
      </c>
      <c r="C20" s="41">
        <f>SUM(C18:C19)</f>
        <v>0</v>
      </c>
      <c r="D20" s="41">
        <f>SUM(D18:D19)</f>
        <v>367.88</v>
      </c>
      <c r="E20" s="40">
        <f>SUM(D20/D29)*100</f>
        <v>0.18475454584170692</v>
      </c>
      <c r="F20" s="27">
        <f>SUM(F18:F19)</f>
        <v>3075.62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 t="s">
        <v>94</v>
      </c>
      <c r="B22" s="24">
        <v>49405.17</v>
      </c>
      <c r="C22" s="24">
        <v>15391</v>
      </c>
      <c r="D22" s="24">
        <f>SUM(B22:C22)</f>
        <v>64796.17</v>
      </c>
      <c r="E22" s="40"/>
      <c r="F22" s="24">
        <v>116381.47</v>
      </c>
      <c r="G22" s="6"/>
    </row>
    <row r="23" spans="1:7" x14ac:dyDescent="0.2">
      <c r="A23" s="38" t="s">
        <v>27</v>
      </c>
      <c r="B23" s="41">
        <f>SUM(B22)</f>
        <v>49405.17</v>
      </c>
      <c r="C23" s="41">
        <f>SUM(C22)</f>
        <v>15391</v>
      </c>
      <c r="D23" s="41">
        <f>SUM(B23:C23)</f>
        <v>64796.17</v>
      </c>
      <c r="E23" s="40">
        <f>SUM(D23/D29)*100</f>
        <v>32.54155420417537</v>
      </c>
      <c r="F23" s="27">
        <f>SUM(F22)</f>
        <v>116381.47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3686.42</v>
      </c>
      <c r="C25" s="24">
        <v>4520.74</v>
      </c>
      <c r="D25" s="24">
        <f>SUM(B25:C25)</f>
        <v>8207.16</v>
      </c>
      <c r="E25" s="40"/>
      <c r="F25" s="24">
        <v>7893.48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3686.42</v>
      </c>
      <c r="C27" s="41">
        <f t="shared" ref="C27:D27" si="1">SUM(C25:C26)</f>
        <v>4520.74</v>
      </c>
      <c r="D27" s="41">
        <f t="shared" si="1"/>
        <v>8207.16</v>
      </c>
      <c r="E27" s="40">
        <f>SUM(D27/D29)*100</f>
        <v>4.1217519801299973</v>
      </c>
      <c r="F27" s="27">
        <f>SUM(F25:F26)</f>
        <v>7893.48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109921.63999999998</v>
      </c>
      <c r="C29" s="41">
        <f>SUM(C27,C23,C20,C16,C12)</f>
        <v>89196.6</v>
      </c>
      <c r="D29" s="41">
        <f>SUM(B29:C29)</f>
        <v>199118.24</v>
      </c>
      <c r="E29" s="40">
        <f>SUM(E12:E27)</f>
        <v>100</v>
      </c>
      <c r="F29" s="27">
        <f>F27+F23+F20+F16+F12</f>
        <v>247759.74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-109921.63999999998</v>
      </c>
      <c r="C33" s="27">
        <f t="shared" si="2"/>
        <v>-89196.6</v>
      </c>
      <c r="D33" s="27">
        <f t="shared" si="2"/>
        <v>-199118.24</v>
      </c>
      <c r="E33" s="47">
        <f t="shared" si="2"/>
        <v>-100</v>
      </c>
      <c r="F33" s="27">
        <f t="shared" si="2"/>
        <v>-247759.74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3:K46"/>
  <sheetViews>
    <sheetView topLeftCell="A34" workbookViewId="0">
      <selection activeCell="L40" sqref="L40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2.42578125" style="21" bestFit="1" customWidth="1"/>
    <col min="4" max="4" width="10.7109375" style="21" customWidth="1"/>
    <col min="5" max="5" width="9.28515625" style="21" bestFit="1" customWidth="1"/>
    <col min="6" max="6" width="10" style="21" bestFit="1" customWidth="1"/>
    <col min="7" max="7" width="10.5703125" style="21" customWidth="1"/>
    <col min="8" max="10" width="12.42578125" style="21" bestFit="1" customWidth="1"/>
    <col min="11" max="16384" width="9.140625" style="21"/>
  </cols>
  <sheetData>
    <row r="3" spans="1:11" ht="23.25" x14ac:dyDescent="0.35">
      <c r="A3" s="155" t="s">
        <v>46</v>
      </c>
      <c r="B3" s="156"/>
      <c r="C3" s="156"/>
      <c r="D3" s="156"/>
      <c r="E3" s="156"/>
      <c r="F3" s="156"/>
      <c r="G3" s="156"/>
      <c r="H3" s="156"/>
      <c r="I3" s="156"/>
      <c r="J3" s="156"/>
      <c r="K3" s="32"/>
    </row>
    <row r="5" spans="1:11" ht="18.75" x14ac:dyDescent="0.3">
      <c r="A5" s="28" t="s">
        <v>54</v>
      </c>
      <c r="B5" s="139" t="s">
        <v>47</v>
      </c>
      <c r="C5" s="139"/>
      <c r="D5" s="23"/>
      <c r="E5" s="151" t="s">
        <v>104</v>
      </c>
      <c r="F5" s="151"/>
      <c r="G5" s="151"/>
      <c r="H5" s="151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37" t="s">
        <v>59</v>
      </c>
      <c r="I7" s="137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105</v>
      </c>
      <c r="B9" s="24">
        <f>'024'!B15</f>
        <v>163465.15999999997</v>
      </c>
      <c r="C9" s="24">
        <f>'024'!B18</f>
        <v>0</v>
      </c>
      <c r="D9" s="24">
        <f>'024'!B28</f>
        <v>11797.269999999999</v>
      </c>
      <c r="E9" s="24">
        <f>'024'!B31</f>
        <v>2452.27</v>
      </c>
      <c r="F9" s="24">
        <f>'024'!B34</f>
        <v>0</v>
      </c>
      <c r="G9" s="24">
        <f>'024'!B39</f>
        <v>13104.485000000001</v>
      </c>
      <c r="H9" s="24">
        <f>SUM(B9:G9)</f>
        <v>190819.18499999994</v>
      </c>
      <c r="I9" s="24">
        <f>'024'!B52</f>
        <v>338166.67</v>
      </c>
      <c r="J9" s="24">
        <f>I9-H9</f>
        <v>147347.48500000004</v>
      </c>
    </row>
    <row r="10" spans="1:11" x14ac:dyDescent="0.2">
      <c r="A10" s="23" t="s">
        <v>106</v>
      </c>
      <c r="B10" s="24">
        <f>'025'!B12</f>
        <v>73524.36</v>
      </c>
      <c r="C10" s="24">
        <f>'025'!B16</f>
        <v>0</v>
      </c>
      <c r="D10" s="24">
        <f>'025'!B21</f>
        <v>60</v>
      </c>
      <c r="E10" s="24">
        <v>0</v>
      </c>
      <c r="F10" s="24">
        <f>'025'!B24</f>
        <v>0</v>
      </c>
      <c r="G10" s="24">
        <f>'025'!B28</f>
        <v>4126.01</v>
      </c>
      <c r="H10" s="24">
        <f>SUM(B10:G10)</f>
        <v>77710.37</v>
      </c>
      <c r="I10" s="24">
        <v>0</v>
      </c>
      <c r="J10" s="24">
        <f t="shared" ref="J10:J13" si="0">I10-H10</f>
        <v>-77710.37</v>
      </c>
    </row>
    <row r="11" spans="1:11" x14ac:dyDescent="0.2">
      <c r="A11" s="23" t="s">
        <v>107</v>
      </c>
      <c r="B11" s="24">
        <f>'026'!B12</f>
        <v>30671.74</v>
      </c>
      <c r="C11" s="24">
        <f>'026'!B16</f>
        <v>0</v>
      </c>
      <c r="D11" s="24">
        <f>'026'!B23</f>
        <v>9348.11</v>
      </c>
      <c r="E11" s="24">
        <v>0</v>
      </c>
      <c r="F11" s="24">
        <f>'026'!B26</f>
        <v>0</v>
      </c>
      <c r="G11" s="24">
        <f>'026'!B30</f>
        <v>1879</v>
      </c>
      <c r="H11" s="24">
        <f t="shared" ref="H11:H13" si="1">SUM(B11:G11)</f>
        <v>41898.850000000006</v>
      </c>
      <c r="I11" s="24">
        <f>'026'!B67</f>
        <v>5577752.6399999987</v>
      </c>
      <c r="J11" s="24">
        <f t="shared" si="0"/>
        <v>5535853.7899999991</v>
      </c>
    </row>
    <row r="12" spans="1:11" x14ac:dyDescent="0.2">
      <c r="A12" s="23" t="s">
        <v>108</v>
      </c>
      <c r="B12" s="24">
        <f>'027'!B12</f>
        <v>0</v>
      </c>
      <c r="C12" s="24">
        <f>'027'!B16</f>
        <v>0</v>
      </c>
      <c r="D12" s="24">
        <f>'027'!B24</f>
        <v>85829.634999999995</v>
      </c>
      <c r="E12" s="24">
        <v>0</v>
      </c>
      <c r="F12" s="24">
        <f>'027'!B27</f>
        <v>0</v>
      </c>
      <c r="G12" s="24">
        <f>'027'!B31</f>
        <v>98.974999999999994</v>
      </c>
      <c r="H12" s="24">
        <f t="shared" si="1"/>
        <v>85928.61</v>
      </c>
      <c r="I12" s="24">
        <v>0</v>
      </c>
      <c r="J12" s="24">
        <f t="shared" si="0"/>
        <v>-85928.61</v>
      </c>
    </row>
    <row r="13" spans="1:11" x14ac:dyDescent="0.2">
      <c r="A13" s="23" t="s">
        <v>109</v>
      </c>
      <c r="B13" s="24">
        <f>'028'!B12</f>
        <v>56462.17</v>
      </c>
      <c r="C13" s="24">
        <f>'028'!B16</f>
        <v>0</v>
      </c>
      <c r="D13" s="24">
        <f>'028'!B20</f>
        <v>367.88</v>
      </c>
      <c r="E13" s="24">
        <v>0</v>
      </c>
      <c r="F13" s="24">
        <f>'028'!B23</f>
        <v>49405.17</v>
      </c>
      <c r="G13" s="24">
        <f>'028'!B27</f>
        <v>3686.42</v>
      </c>
      <c r="H13" s="24">
        <f t="shared" si="1"/>
        <v>109921.64</v>
      </c>
      <c r="I13" s="24">
        <v>0</v>
      </c>
      <c r="J13" s="24">
        <f t="shared" si="0"/>
        <v>-109921.64</v>
      </c>
    </row>
    <row r="14" spans="1:11" x14ac:dyDescent="0.2">
      <c r="A14" s="26" t="s">
        <v>53</v>
      </c>
      <c r="B14" s="27">
        <f>SUM(B9:B13)</f>
        <v>324123.42999999993</v>
      </c>
      <c r="C14" s="27">
        <f t="shared" ref="C14:G14" si="2">SUM(C9:C13)</f>
        <v>0</v>
      </c>
      <c r="D14" s="27">
        <f t="shared" si="2"/>
        <v>107402.89499999999</v>
      </c>
      <c r="E14" s="27">
        <f t="shared" si="2"/>
        <v>2452.27</v>
      </c>
      <c r="F14" s="27">
        <f t="shared" si="2"/>
        <v>49405.17</v>
      </c>
      <c r="G14" s="27">
        <f t="shared" si="2"/>
        <v>22894.89</v>
      </c>
      <c r="H14" s="27">
        <f>SUM(H9:H13)</f>
        <v>506278.65499999991</v>
      </c>
      <c r="I14" s="27">
        <f>SUM(I9:I13)</f>
        <v>5915919.3099999987</v>
      </c>
      <c r="J14" s="27">
        <f>I14-H14</f>
        <v>5409640.6549999984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  <row r="37" spans="1:10" ht="18.75" x14ac:dyDescent="0.3">
      <c r="A37" s="28" t="s">
        <v>286</v>
      </c>
      <c r="B37" s="139" t="s">
        <v>47</v>
      </c>
      <c r="C37" s="139"/>
      <c r="D37" s="23"/>
      <c r="E37" s="151" t="s">
        <v>104</v>
      </c>
      <c r="F37" s="151"/>
      <c r="G37" s="151"/>
      <c r="H37" s="151"/>
    </row>
    <row r="38" spans="1:10" x14ac:dyDescent="0.2">
      <c r="B38" s="6"/>
      <c r="C38" s="7"/>
      <c r="D38" s="6"/>
      <c r="E38" s="6"/>
      <c r="F38" s="6"/>
      <c r="G38" s="6"/>
      <c r="H38" s="29" t="s">
        <v>63</v>
      </c>
      <c r="I38" s="29" t="s">
        <v>62</v>
      </c>
      <c r="J38" s="6"/>
    </row>
    <row r="39" spans="1:10" x14ac:dyDescent="0.2">
      <c r="A39" s="23"/>
      <c r="B39" s="23"/>
      <c r="C39" s="138" t="s">
        <v>56</v>
      </c>
      <c r="D39" s="138" t="s">
        <v>57</v>
      </c>
      <c r="E39" s="138" t="s">
        <v>58</v>
      </c>
      <c r="F39" s="138" t="s">
        <v>64</v>
      </c>
      <c r="G39" s="138" t="s">
        <v>2</v>
      </c>
      <c r="H39" s="137" t="s">
        <v>59</v>
      </c>
      <c r="I39" s="137" t="s">
        <v>60</v>
      </c>
      <c r="J39" s="138" t="s">
        <v>61</v>
      </c>
    </row>
    <row r="40" spans="1:10" x14ac:dyDescent="0.2">
      <c r="A40" s="23"/>
      <c r="B40" s="23" t="s">
        <v>49</v>
      </c>
      <c r="C40" s="138"/>
      <c r="D40" s="138"/>
      <c r="E40" s="138"/>
      <c r="F40" s="138"/>
      <c r="G40" s="138"/>
      <c r="H40" s="137"/>
      <c r="I40" s="137"/>
      <c r="J40" s="138"/>
    </row>
    <row r="41" spans="1:10" x14ac:dyDescent="0.2">
      <c r="A41" s="23" t="s">
        <v>105</v>
      </c>
      <c r="B41" s="24">
        <f>'024'!C15</f>
        <v>89236.329999999987</v>
      </c>
      <c r="C41" s="24">
        <f>'024'!C18</f>
        <v>0</v>
      </c>
      <c r="D41" s="24">
        <f>'024'!C28</f>
        <v>1185.93</v>
      </c>
      <c r="E41" s="24">
        <f>'024'!C31</f>
        <v>0</v>
      </c>
      <c r="F41" s="24">
        <f>'024'!C34</f>
        <v>0</v>
      </c>
      <c r="G41" s="24">
        <f>'024'!C39</f>
        <v>19752.559999999998</v>
      </c>
      <c r="H41" s="24">
        <f>SUM(B41:G41)</f>
        <v>110174.81999999998</v>
      </c>
      <c r="I41" s="24">
        <f>'024'!C52</f>
        <v>3940.5100000000093</v>
      </c>
      <c r="J41" s="24">
        <f>I41-H41</f>
        <v>-106234.30999999997</v>
      </c>
    </row>
    <row r="42" spans="1:10" x14ac:dyDescent="0.2">
      <c r="A42" s="23" t="s">
        <v>106</v>
      </c>
      <c r="B42" s="24">
        <f>'025'!C12</f>
        <v>85153.62</v>
      </c>
      <c r="C42" s="24">
        <f>'025'!C16</f>
        <v>0</v>
      </c>
      <c r="D42" s="24">
        <f>'025'!C21</f>
        <v>456.77</v>
      </c>
      <c r="E42" s="24">
        <v>0</v>
      </c>
      <c r="F42" s="24">
        <f>'025'!B45</f>
        <v>0</v>
      </c>
      <c r="G42" s="24">
        <f>'025'!C28</f>
        <v>4848.6000000000004</v>
      </c>
      <c r="H42" s="24">
        <f>SUM(B42:G42)</f>
        <v>90458.99</v>
      </c>
      <c r="I42" s="24">
        <v>0</v>
      </c>
      <c r="J42" s="24">
        <f t="shared" ref="J42:J45" si="3">I42-H42</f>
        <v>-90458.99</v>
      </c>
    </row>
    <row r="43" spans="1:10" x14ac:dyDescent="0.2">
      <c r="A43" s="23" t="s">
        <v>107</v>
      </c>
      <c r="B43" s="24">
        <f>'026'!C12</f>
        <v>46542.67</v>
      </c>
      <c r="C43" s="24">
        <f>'026'!C16</f>
        <v>0</v>
      </c>
      <c r="D43" s="24">
        <f>'026'!C23</f>
        <v>0</v>
      </c>
      <c r="E43" s="24">
        <v>0</v>
      </c>
      <c r="F43" s="24">
        <f>'026'!C26</f>
        <v>0</v>
      </c>
      <c r="G43" s="24">
        <f>'026'!C30</f>
        <v>1879</v>
      </c>
      <c r="H43" s="24">
        <f t="shared" ref="H43:H45" si="4">SUM(B43:G43)</f>
        <v>48421.67</v>
      </c>
      <c r="I43" s="24">
        <f>'026'!C67</f>
        <v>4564941.8100000005</v>
      </c>
      <c r="J43" s="24">
        <f t="shared" si="3"/>
        <v>4516520.1400000006</v>
      </c>
    </row>
    <row r="44" spans="1:10" x14ac:dyDescent="0.2">
      <c r="A44" s="23" t="s">
        <v>108</v>
      </c>
      <c r="B44" s="24">
        <f>'027'!C12</f>
        <v>0</v>
      </c>
      <c r="C44" s="24">
        <f>'027'!C16</f>
        <v>0</v>
      </c>
      <c r="D44" s="24">
        <f>'027'!C24</f>
        <v>65603.789999999994</v>
      </c>
      <c r="E44" s="24">
        <v>0</v>
      </c>
      <c r="F44" s="24">
        <f>'027'!C27</f>
        <v>0</v>
      </c>
      <c r="G44" s="24">
        <f>'027'!C31</f>
        <v>0</v>
      </c>
      <c r="H44" s="24">
        <f t="shared" si="4"/>
        <v>65603.789999999994</v>
      </c>
      <c r="I44" s="24">
        <v>0</v>
      </c>
      <c r="J44" s="24">
        <f t="shared" si="3"/>
        <v>-65603.789999999994</v>
      </c>
    </row>
    <row r="45" spans="1:10" x14ac:dyDescent="0.2">
      <c r="A45" s="23" t="s">
        <v>109</v>
      </c>
      <c r="B45" s="24">
        <f>'028'!C12</f>
        <v>69284.86</v>
      </c>
      <c r="C45" s="24">
        <f>'028'!C16</f>
        <v>0</v>
      </c>
      <c r="D45" s="24">
        <f>'028'!C20</f>
        <v>0</v>
      </c>
      <c r="E45" s="24">
        <v>0</v>
      </c>
      <c r="F45" s="24">
        <f>'028'!C23</f>
        <v>15391</v>
      </c>
      <c r="G45" s="24">
        <f>'028'!C27</f>
        <v>4520.74</v>
      </c>
      <c r="H45" s="24">
        <f t="shared" si="4"/>
        <v>89196.6</v>
      </c>
      <c r="I45" s="24">
        <v>0</v>
      </c>
      <c r="J45" s="24">
        <f t="shared" si="3"/>
        <v>-89196.6</v>
      </c>
    </row>
    <row r="46" spans="1:10" x14ac:dyDescent="0.2">
      <c r="A46" s="26" t="s">
        <v>53</v>
      </c>
      <c r="B46" s="27">
        <f>SUM(B41:B45)</f>
        <v>290217.48</v>
      </c>
      <c r="C46" s="27">
        <f t="shared" ref="C46:G46" si="5">SUM(C41:C45)</f>
        <v>0</v>
      </c>
      <c r="D46" s="27">
        <f t="shared" si="5"/>
        <v>67246.489999999991</v>
      </c>
      <c r="E46" s="27">
        <f t="shared" si="5"/>
        <v>0</v>
      </c>
      <c r="F46" s="27">
        <f t="shared" si="5"/>
        <v>15391</v>
      </c>
      <c r="G46" s="27">
        <f t="shared" si="5"/>
        <v>31000.899999999994</v>
      </c>
      <c r="H46" s="27">
        <f>SUM(H41:H45)</f>
        <v>403855.87</v>
      </c>
      <c r="I46" s="27">
        <f>SUM(I41:I45)</f>
        <v>4568882.32</v>
      </c>
      <c r="J46" s="27">
        <f>I46-H46</f>
        <v>4165026.45</v>
      </c>
    </row>
  </sheetData>
  <mergeCells count="21">
    <mergeCell ref="A3:J3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7:I8"/>
    <mergeCell ref="I39:I40"/>
    <mergeCell ref="J39:J40"/>
    <mergeCell ref="B37:C37"/>
    <mergeCell ref="E37:H37"/>
    <mergeCell ref="C39:C40"/>
    <mergeCell ref="D39:D40"/>
    <mergeCell ref="E39:E40"/>
    <mergeCell ref="F39:F40"/>
    <mergeCell ref="G39:G40"/>
    <mergeCell ref="H39:H40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2:K87"/>
  <sheetViews>
    <sheetView topLeftCell="A118" workbookViewId="0">
      <selection activeCell="H135" sqref="H135"/>
    </sheetView>
  </sheetViews>
  <sheetFormatPr defaultRowHeight="12.75" x14ac:dyDescent="0.2"/>
  <cols>
    <col min="1" max="1" width="28" style="21" customWidth="1"/>
    <col min="2" max="2" width="12.42578125" style="21" bestFit="1" customWidth="1"/>
    <col min="3" max="3" width="11.7109375" style="21" bestFit="1" customWidth="1"/>
    <col min="4" max="4" width="12.140625" style="21" customWidth="1"/>
    <col min="5" max="5" width="16.7109375" style="21" bestFit="1" customWidth="1"/>
    <col min="6" max="6" width="12.42578125" style="21" bestFit="1" customWidth="1"/>
    <col min="7" max="7" width="13.28515625" style="21" bestFit="1" customWidth="1"/>
    <col min="8" max="10" width="12.42578125" style="21" bestFit="1" customWidth="1"/>
    <col min="11" max="16384" width="9.140625" style="21"/>
  </cols>
  <sheetData>
    <row r="2" spans="1:11" ht="23.25" x14ac:dyDescent="0.35">
      <c r="A2" s="140" t="s">
        <v>46</v>
      </c>
      <c r="B2" s="140"/>
      <c r="C2" s="140"/>
      <c r="D2" s="140"/>
      <c r="E2" s="140"/>
      <c r="F2" s="140"/>
      <c r="G2" s="140"/>
      <c r="H2" s="140"/>
      <c r="I2" s="140"/>
      <c r="J2" s="140"/>
      <c r="K2" s="32"/>
    </row>
    <row r="4" spans="1:11" ht="18.75" x14ac:dyDescent="0.3">
      <c r="A4" s="28" t="s">
        <v>54</v>
      </c>
      <c r="B4" s="159" t="s">
        <v>169</v>
      </c>
      <c r="C4" s="159"/>
      <c r="E4" s="160"/>
      <c r="F4" s="160"/>
      <c r="G4" s="160"/>
      <c r="H4" s="160"/>
    </row>
    <row r="5" spans="1:11" x14ac:dyDescent="0.2">
      <c r="B5" s="6"/>
      <c r="C5" s="7"/>
      <c r="D5" s="6"/>
      <c r="E5" s="6"/>
      <c r="F5" s="6"/>
      <c r="G5" s="6"/>
      <c r="H5" s="29" t="s">
        <v>63</v>
      </c>
      <c r="I5" s="29" t="s">
        <v>62</v>
      </c>
      <c r="J5" s="6"/>
    </row>
    <row r="6" spans="1:11" ht="15" customHeight="1" x14ac:dyDescent="0.2">
      <c r="A6" s="6"/>
      <c r="B6" s="161" t="s">
        <v>49</v>
      </c>
      <c r="C6" s="163" t="s">
        <v>56</v>
      </c>
      <c r="D6" s="163" t="s">
        <v>57</v>
      </c>
      <c r="E6" s="163" t="s">
        <v>58</v>
      </c>
      <c r="F6" s="163" t="s">
        <v>64</v>
      </c>
      <c r="G6" s="163" t="s">
        <v>2</v>
      </c>
      <c r="H6" s="157" t="s">
        <v>59</v>
      </c>
      <c r="I6" s="157" t="s">
        <v>60</v>
      </c>
      <c r="J6" s="30" t="s">
        <v>61</v>
      </c>
    </row>
    <row r="7" spans="1:11" ht="24.75" customHeight="1" x14ac:dyDescent="0.2">
      <c r="A7" s="6"/>
      <c r="B7" s="162"/>
      <c r="C7" s="164"/>
      <c r="D7" s="164"/>
      <c r="E7" s="164"/>
      <c r="F7" s="164"/>
      <c r="G7" s="164"/>
      <c r="H7" s="158"/>
      <c r="I7" s="158"/>
      <c r="J7" s="31"/>
    </row>
    <row r="8" spans="1:11" x14ac:dyDescent="0.2">
      <c r="A8" s="23" t="s">
        <v>170</v>
      </c>
      <c r="B8" s="24">
        <f>'riep I° sett.'!B13</f>
        <v>191016.19</v>
      </c>
      <c r="C8" s="24">
        <f>'riep I° sett.'!C13</f>
        <v>2288.6099999999997</v>
      </c>
      <c r="D8" s="24">
        <f>'riep I° sett.'!D13</f>
        <v>4659.66</v>
      </c>
      <c r="E8" s="24">
        <f>'riep I° sett.'!E13</f>
        <v>0</v>
      </c>
      <c r="F8" s="24">
        <f>'riep I° sett.'!F13</f>
        <v>0</v>
      </c>
      <c r="G8" s="24">
        <f>'riep I° sett.'!G13</f>
        <v>11937.464999999998</v>
      </c>
      <c r="H8" s="24">
        <f>SUM(B8:G8)</f>
        <v>209901.92499999999</v>
      </c>
      <c r="I8" s="24">
        <f>'riep I° sett.'!I13</f>
        <v>106167.31</v>
      </c>
      <c r="J8" s="24">
        <f>I8-H8</f>
        <v>-103734.61499999999</v>
      </c>
    </row>
    <row r="9" spans="1:11" x14ac:dyDescent="0.2">
      <c r="A9" s="23" t="s">
        <v>171</v>
      </c>
      <c r="B9" s="24">
        <f>'riep II° sett.'!B14</f>
        <v>114061.16</v>
      </c>
      <c r="C9" s="24">
        <f>'riep II° sett.'!C14</f>
        <v>5658.09</v>
      </c>
      <c r="D9" s="24">
        <f>'riep II° sett.'!D14</f>
        <v>149920.59</v>
      </c>
      <c r="E9" s="24">
        <f>'riep II° sett.'!E14</f>
        <v>0</v>
      </c>
      <c r="F9" s="24">
        <f>'riep II° sett.'!F14</f>
        <v>3991986.49</v>
      </c>
      <c r="G9" s="24">
        <f>'riep II° sett.'!G14</f>
        <v>13651.87</v>
      </c>
      <c r="H9" s="24">
        <f>SUM(B9:G9)</f>
        <v>4275278.2</v>
      </c>
      <c r="I9" s="24">
        <f>'riep II° sett.'!I14</f>
        <v>3596481.0800000005</v>
      </c>
      <c r="J9" s="24">
        <f t="shared" ref="J9:J13" si="0">I9-H9</f>
        <v>-678797.11999999965</v>
      </c>
    </row>
    <row r="10" spans="1:11" x14ac:dyDescent="0.2">
      <c r="A10" s="23" t="s">
        <v>172</v>
      </c>
      <c r="B10" s="24">
        <f>'riep III° sett. '!B12</f>
        <v>138411.19</v>
      </c>
      <c r="C10" s="24">
        <f>'riep III° sett. '!C12</f>
        <v>0</v>
      </c>
      <c r="D10" s="24">
        <f>'riep III° sett. '!D12</f>
        <v>754.53</v>
      </c>
      <c r="E10" s="24">
        <f>'riep III° sett. '!E12</f>
        <v>0</v>
      </c>
      <c r="F10" s="24">
        <f>'riep III° sett. '!F12</f>
        <v>0</v>
      </c>
      <c r="G10" s="24">
        <f>'riep III° sett. '!G12</f>
        <v>8500.32</v>
      </c>
      <c r="H10" s="24">
        <f>SUM(B10:G10)</f>
        <v>147666.04</v>
      </c>
      <c r="I10" s="24">
        <f>'riep III° sett. '!I12</f>
        <v>98970.16</v>
      </c>
      <c r="J10" s="24">
        <f t="shared" si="0"/>
        <v>-48695.880000000005</v>
      </c>
    </row>
    <row r="11" spans="1:11" x14ac:dyDescent="0.2">
      <c r="A11" s="23" t="s">
        <v>173</v>
      </c>
      <c r="B11" s="24">
        <f>'riep IV° sett.'!B15</f>
        <v>197155.7</v>
      </c>
      <c r="C11" s="24">
        <f>'riep IV° sett.'!C15</f>
        <v>15119.31</v>
      </c>
      <c r="D11" s="24">
        <f>'riep IV° sett.'!D15</f>
        <v>1891688.72</v>
      </c>
      <c r="E11" s="24">
        <f>'riep IV° sett.'!E15</f>
        <v>2022.66</v>
      </c>
      <c r="F11" s="24">
        <f>'riep IV° sett.'!F15</f>
        <v>2677.6</v>
      </c>
      <c r="G11" s="24">
        <f>'riep IV° sett.'!G15</f>
        <v>12474.594999999999</v>
      </c>
      <c r="H11" s="24">
        <f t="shared" ref="H11:H13" si="1">SUM(B11:G11)</f>
        <v>2121138.5850000004</v>
      </c>
      <c r="I11" s="24">
        <f>'riep IV° sett.'!I15</f>
        <v>59651.960000000006</v>
      </c>
      <c r="J11" s="24">
        <f t="shared" si="0"/>
        <v>-2061486.6250000005</v>
      </c>
    </row>
    <row r="12" spans="1:11" x14ac:dyDescent="0.2">
      <c r="A12" s="23" t="s">
        <v>174</v>
      </c>
      <c r="B12" s="24">
        <f>'riep V° sett.'!B11</f>
        <v>76431.63</v>
      </c>
      <c r="C12" s="24">
        <f>'riep V° sett.'!C11</f>
        <v>0</v>
      </c>
      <c r="D12" s="24">
        <f>'riep V° sett.'!D11</f>
        <v>937.75</v>
      </c>
      <c r="E12" s="24">
        <f>'riep V° sett.'!E11</f>
        <v>0</v>
      </c>
      <c r="F12" s="24">
        <f>'riep V° sett.'!F11</f>
        <v>0</v>
      </c>
      <c r="G12" s="24">
        <f>'riep V° sett.'!G11</f>
        <v>4951.62</v>
      </c>
      <c r="H12" s="24">
        <f>SUM(B12:G12)</f>
        <v>82321</v>
      </c>
      <c r="I12" s="24">
        <f>'riep V° sett.'!I11</f>
        <v>5962.74</v>
      </c>
      <c r="J12" s="24">
        <f t="shared" si="0"/>
        <v>-76358.259999999995</v>
      </c>
    </row>
    <row r="13" spans="1:11" x14ac:dyDescent="0.2">
      <c r="A13" s="23" t="s">
        <v>175</v>
      </c>
      <c r="B13" s="24">
        <f>'riep. VI° sett.'!B14</f>
        <v>324123.42999999993</v>
      </c>
      <c r="C13" s="24">
        <f>'riep. VI° sett.'!C14</f>
        <v>0</v>
      </c>
      <c r="D13" s="24">
        <f>'riep. VI° sett.'!D14</f>
        <v>107402.89499999999</v>
      </c>
      <c r="E13" s="24">
        <f>'riep. VI° sett.'!E14</f>
        <v>2452.27</v>
      </c>
      <c r="F13" s="24">
        <f>'riep. VI° sett.'!F14</f>
        <v>49405.17</v>
      </c>
      <c r="G13" s="24">
        <f>'riep. VI° sett.'!G14</f>
        <v>22894.89</v>
      </c>
      <c r="H13" s="24">
        <f t="shared" si="1"/>
        <v>506278.65499999997</v>
      </c>
      <c r="I13" s="24">
        <f>'riep. VI° sett.'!I14</f>
        <v>5915919.3099999987</v>
      </c>
      <c r="J13" s="24">
        <f t="shared" si="0"/>
        <v>5409640.6549999984</v>
      </c>
    </row>
    <row r="14" spans="1:11" x14ac:dyDescent="0.2">
      <c r="A14" s="26" t="s">
        <v>53</v>
      </c>
      <c r="B14" s="27">
        <f>SUM(B8:B13)</f>
        <v>1041199.2999999999</v>
      </c>
      <c r="C14" s="27">
        <f t="shared" ref="C14:J14" si="2">SUM(C8:C13)</f>
        <v>23066.01</v>
      </c>
      <c r="D14" s="27">
        <f t="shared" si="2"/>
        <v>2155364.145</v>
      </c>
      <c r="E14" s="27">
        <f t="shared" si="2"/>
        <v>4474.93</v>
      </c>
      <c r="F14" s="27">
        <f t="shared" si="2"/>
        <v>4044069.2600000002</v>
      </c>
      <c r="G14" s="27">
        <f t="shared" si="2"/>
        <v>74410.760000000009</v>
      </c>
      <c r="H14" s="27">
        <f t="shared" si="2"/>
        <v>7342584.4050000003</v>
      </c>
      <c r="I14" s="27">
        <f t="shared" si="2"/>
        <v>9783152.5599999987</v>
      </c>
      <c r="J14" s="27">
        <f t="shared" si="2"/>
        <v>2440568.1549999984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  <row r="77" spans="1:10" ht="18.75" x14ac:dyDescent="0.3">
      <c r="A77" s="28" t="s">
        <v>286</v>
      </c>
      <c r="B77" s="159" t="s">
        <v>169</v>
      </c>
      <c r="C77" s="159"/>
      <c r="E77" s="160"/>
      <c r="F77" s="160"/>
      <c r="G77" s="160"/>
      <c r="H77" s="160"/>
    </row>
    <row r="78" spans="1:10" x14ac:dyDescent="0.2">
      <c r="B78" s="6"/>
      <c r="C78" s="7"/>
      <c r="D78" s="6"/>
      <c r="E78" s="6"/>
      <c r="F78" s="6"/>
      <c r="G78" s="6"/>
      <c r="H78" s="29" t="s">
        <v>63</v>
      </c>
      <c r="I78" s="29" t="s">
        <v>62</v>
      </c>
      <c r="J78" s="6"/>
    </row>
    <row r="79" spans="1:10" x14ac:dyDescent="0.2">
      <c r="A79" s="6"/>
      <c r="B79" s="161" t="s">
        <v>49</v>
      </c>
      <c r="C79" s="163" t="s">
        <v>56</v>
      </c>
      <c r="D79" s="163" t="s">
        <v>57</v>
      </c>
      <c r="E79" s="163" t="s">
        <v>58</v>
      </c>
      <c r="F79" s="163" t="s">
        <v>64</v>
      </c>
      <c r="G79" s="163" t="s">
        <v>2</v>
      </c>
      <c r="H79" s="157" t="s">
        <v>59</v>
      </c>
      <c r="I79" s="157" t="s">
        <v>60</v>
      </c>
      <c r="J79" s="30" t="s">
        <v>61</v>
      </c>
    </row>
    <row r="80" spans="1:10" x14ac:dyDescent="0.2">
      <c r="A80" s="6"/>
      <c r="B80" s="162"/>
      <c r="C80" s="164"/>
      <c r="D80" s="164"/>
      <c r="E80" s="164"/>
      <c r="F80" s="164"/>
      <c r="G80" s="164"/>
      <c r="H80" s="158"/>
      <c r="I80" s="158"/>
      <c r="J80" s="31"/>
    </row>
    <row r="81" spans="1:10" x14ac:dyDescent="0.2">
      <c r="A81" s="23" t="s">
        <v>170</v>
      </c>
      <c r="B81" s="24">
        <f>'riep I° sett.'!B46</f>
        <v>216839.21999999997</v>
      </c>
      <c r="C81" s="24">
        <f>'riep I° sett.'!C46</f>
        <v>0</v>
      </c>
      <c r="D81" s="24">
        <f>'riep I° sett.'!D46</f>
        <v>0</v>
      </c>
      <c r="E81" s="24">
        <f>'riep I° sett.'!E46</f>
        <v>0</v>
      </c>
      <c r="F81" s="24">
        <f>'riep I° sett.'!F46</f>
        <v>0</v>
      </c>
      <c r="G81" s="24" t="e">
        <f>'riep I° sett.'!G46</f>
        <v>#REF!</v>
      </c>
      <c r="H81" s="24" t="e">
        <f>SUM(B81:G81)</f>
        <v>#REF!</v>
      </c>
      <c r="I81" s="24">
        <f>'riep I° sett.'!I46</f>
        <v>11775.550000000001</v>
      </c>
      <c r="J81" s="24" t="e">
        <f>I81-H81</f>
        <v>#REF!</v>
      </c>
    </row>
    <row r="82" spans="1:10" x14ac:dyDescent="0.2">
      <c r="A82" s="23" t="s">
        <v>171</v>
      </c>
      <c r="B82" s="24">
        <f>'riep II° sett.'!B47</f>
        <v>158883.72999999998</v>
      </c>
      <c r="C82" s="24">
        <f>'riep II° sett.'!C47</f>
        <v>464.6</v>
      </c>
      <c r="D82" s="24">
        <f>'riep II° sett.'!D47</f>
        <v>13400.199999999999</v>
      </c>
      <c r="E82" s="24">
        <f>'riep II° sett.'!E47</f>
        <v>0</v>
      </c>
      <c r="F82" s="24">
        <f>'riep II° sett.'!F47</f>
        <v>0</v>
      </c>
      <c r="G82" s="24">
        <f>'riep II° sett.'!G47</f>
        <v>9753.57</v>
      </c>
      <c r="H82" s="24">
        <f>SUM(B82:G82)</f>
        <v>182502.1</v>
      </c>
      <c r="I82" s="24">
        <f>'riep II° sett.'!I47</f>
        <v>5129189.93</v>
      </c>
      <c r="J82" s="24">
        <f t="shared" ref="J82:J86" si="3">I82-H82</f>
        <v>4946687.83</v>
      </c>
    </row>
    <row r="83" spans="1:10" x14ac:dyDescent="0.2">
      <c r="A83" s="23" t="s">
        <v>172</v>
      </c>
      <c r="B83" s="24">
        <f>'riep III° sett. '!B44</f>
        <v>145929.66</v>
      </c>
      <c r="C83" s="24">
        <f>'riep III° sett. '!C44</f>
        <v>0</v>
      </c>
      <c r="D83" s="24">
        <f>'riep III° sett. '!D44</f>
        <v>0</v>
      </c>
      <c r="E83" s="24">
        <f>'riep III° sett. '!E44</f>
        <v>0</v>
      </c>
      <c r="F83" s="24">
        <f>'riep III° sett. '!F44</f>
        <v>0</v>
      </c>
      <c r="G83" s="24">
        <f>'riep III° sett. '!G44</f>
        <v>9249.7100000000009</v>
      </c>
      <c r="H83" s="24">
        <f>SUM(B83:G83)</f>
        <v>155179.37</v>
      </c>
      <c r="I83" s="24">
        <f>'riep III° sett. '!I44</f>
        <v>14821.549999999996</v>
      </c>
      <c r="J83" s="24">
        <f t="shared" si="3"/>
        <v>-140357.82</v>
      </c>
    </row>
    <row r="84" spans="1:10" x14ac:dyDescent="0.2">
      <c r="A84" s="23" t="s">
        <v>173</v>
      </c>
      <c r="B84" s="24">
        <f>'riep IV° sett.'!$B$48</f>
        <v>188071.99</v>
      </c>
      <c r="C84" s="24">
        <f>'riep IV° sett.'!$C$48</f>
        <v>0</v>
      </c>
      <c r="D84" s="24">
        <f>'riep IV° sett.'!D48</f>
        <v>97975.08</v>
      </c>
      <c r="E84" s="24">
        <f>'riep IV° sett.'!E48</f>
        <v>0</v>
      </c>
      <c r="F84" s="24">
        <f>'riep IV° sett.'!F48</f>
        <v>0</v>
      </c>
      <c r="G84" s="24">
        <f>'riep IV° sett.'!G48</f>
        <v>11900.939999999999</v>
      </c>
      <c r="H84" s="24">
        <f>SUM(B84:G84)</f>
        <v>297948.01</v>
      </c>
      <c r="I84" s="24">
        <f>'riep IV° sett.'!I48</f>
        <v>25414.61</v>
      </c>
      <c r="J84" s="24">
        <f t="shared" si="3"/>
        <v>-272533.40000000002</v>
      </c>
    </row>
    <row r="85" spans="1:10" x14ac:dyDescent="0.2">
      <c r="A85" s="23" t="s">
        <v>174</v>
      </c>
      <c r="B85" s="24">
        <f>'riep V° sett.'!$B$43</f>
        <v>85394.64</v>
      </c>
      <c r="C85" s="24">
        <f>'riep V° sett.'!$C$43</f>
        <v>0</v>
      </c>
      <c r="D85" s="24">
        <f>'riep V° sett.'!$D$43</f>
        <v>0</v>
      </c>
      <c r="E85" s="24">
        <f>'riep V° sett.'!$E$43</f>
        <v>0</v>
      </c>
      <c r="F85" s="24">
        <f>'riep V° sett.'!$F$43</f>
        <v>0</v>
      </c>
      <c r="G85" s="24">
        <f>'riep V° sett.'!$G$43</f>
        <v>5475.5599999999995</v>
      </c>
      <c r="H85" s="24">
        <f>SUM(B85:G85)</f>
        <v>90870.2</v>
      </c>
      <c r="I85" s="24">
        <f>'riep V° sett.'!$I$43</f>
        <v>0</v>
      </c>
      <c r="J85" s="24">
        <f t="shared" si="3"/>
        <v>-90870.2</v>
      </c>
    </row>
    <row r="86" spans="1:10" x14ac:dyDescent="0.2">
      <c r="A86" s="23" t="s">
        <v>175</v>
      </c>
      <c r="B86" s="24">
        <f>'riep. VI° sett.'!B46</f>
        <v>290217.48</v>
      </c>
      <c r="C86" s="24">
        <f>'riep. VI° sett.'!C46</f>
        <v>0</v>
      </c>
      <c r="D86" s="24">
        <f>'riep. VI° sett.'!D46</f>
        <v>67246.489999999991</v>
      </c>
      <c r="E86" s="24">
        <f>'riep. VI° sett.'!E46</f>
        <v>0</v>
      </c>
      <c r="F86" s="24">
        <f>'riep. VI° sett.'!F46</f>
        <v>15391</v>
      </c>
      <c r="G86" s="24">
        <f>'riep. VI° sett.'!G46</f>
        <v>31000.899999999994</v>
      </c>
      <c r="H86" s="24">
        <f t="shared" ref="H86" si="4">SUM(B86:G86)</f>
        <v>403855.87</v>
      </c>
      <c r="I86" s="24">
        <f>'riep. VI° sett.'!I46</f>
        <v>4568882.32</v>
      </c>
      <c r="J86" s="24">
        <f t="shared" si="3"/>
        <v>4165026.45</v>
      </c>
    </row>
    <row r="87" spans="1:10" x14ac:dyDescent="0.2">
      <c r="A87" s="26" t="s">
        <v>53</v>
      </c>
      <c r="B87" s="27">
        <f>SUM(B81:B86)</f>
        <v>1085336.72</v>
      </c>
      <c r="C87" s="27">
        <f t="shared" ref="C87:H87" si="5">SUM(C81:C86)</f>
        <v>464.6</v>
      </c>
      <c r="D87" s="27">
        <f t="shared" si="5"/>
        <v>178621.77</v>
      </c>
      <c r="E87" s="27">
        <f t="shared" si="5"/>
        <v>0</v>
      </c>
      <c r="F87" s="27">
        <f t="shared" si="5"/>
        <v>15391</v>
      </c>
      <c r="G87" s="27" t="e">
        <f t="shared" si="5"/>
        <v>#REF!</v>
      </c>
      <c r="H87" s="27" t="e">
        <f t="shared" si="5"/>
        <v>#REF!</v>
      </c>
      <c r="I87" s="27">
        <f t="shared" ref="I87" si="6">SUM(I81:I86)</f>
        <v>9750083.9600000009</v>
      </c>
      <c r="J87" s="27" t="e">
        <f t="shared" ref="J87" si="7">SUM(J81:J86)</f>
        <v>#REF!</v>
      </c>
    </row>
  </sheetData>
  <mergeCells count="21">
    <mergeCell ref="A2:J2"/>
    <mergeCell ref="E4:H4"/>
    <mergeCell ref="D6:D7"/>
    <mergeCell ref="C6:C7"/>
    <mergeCell ref="E6:E7"/>
    <mergeCell ref="F6:F7"/>
    <mergeCell ref="G6:G7"/>
    <mergeCell ref="H6:H7"/>
    <mergeCell ref="I6:I7"/>
    <mergeCell ref="B6:B7"/>
    <mergeCell ref="B4:C4"/>
    <mergeCell ref="I79:I80"/>
    <mergeCell ref="B77:C77"/>
    <mergeCell ref="E77:H77"/>
    <mergeCell ref="B79:B80"/>
    <mergeCell ref="C79:C80"/>
    <mergeCell ref="D79:D80"/>
    <mergeCell ref="E79:E80"/>
    <mergeCell ref="F79:F80"/>
    <mergeCell ref="G79:G80"/>
    <mergeCell ref="H79:H80"/>
  </mergeCells>
  <pageMargins left="0.78740157480314965" right="0.74803149606299213" top="0.98425196850393704" bottom="0.98425196850393704" header="0.51181102362204722" footer="0.51181102362204722"/>
  <pageSetup paperSize="9" scale="95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H288"/>
  <sheetViews>
    <sheetView topLeftCell="A34" workbookViewId="0">
      <selection activeCell="A57" sqref="A57:XFD69"/>
    </sheetView>
  </sheetViews>
  <sheetFormatPr defaultRowHeight="12.75" x14ac:dyDescent="0.2"/>
  <cols>
    <col min="1" max="1" width="24.85546875" style="1" customWidth="1"/>
    <col min="2" max="2" width="18.7109375" style="1" customWidth="1"/>
    <col min="3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35" t="s">
        <v>176</v>
      </c>
      <c r="C2" s="135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3" t="s">
        <v>33</v>
      </c>
      <c r="C6" s="133"/>
      <c r="D6" s="133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92732.97</v>
      </c>
      <c r="C9" s="24">
        <v>108458.91</v>
      </c>
      <c r="D9" s="24">
        <f>SUM(B9:C9)</f>
        <v>201191.88</v>
      </c>
      <c r="E9" s="40"/>
      <c r="F9" s="24">
        <v>200706.3</v>
      </c>
      <c r="G9" s="6"/>
    </row>
    <row r="10" spans="1:8" x14ac:dyDescent="0.2">
      <c r="A10" s="23" t="s">
        <v>34</v>
      </c>
      <c r="B10" s="24">
        <v>36917.120000000003</v>
      </c>
      <c r="C10" s="24">
        <v>37801.31</v>
      </c>
      <c r="D10" s="24">
        <f>SUM(B10:C10)</f>
        <v>74718.429999999993</v>
      </c>
      <c r="E10" s="40"/>
      <c r="F10" s="24">
        <v>72915.100000000006</v>
      </c>
      <c r="G10" s="6"/>
    </row>
    <row r="11" spans="1:8" x14ac:dyDescent="0.2">
      <c r="A11" s="38" t="s">
        <v>19</v>
      </c>
      <c r="B11" s="41">
        <f>SUM(B9:B10)</f>
        <v>129650.09</v>
      </c>
      <c r="C11" s="41">
        <f t="shared" ref="C11:D11" si="0">SUM(C9:C10)</f>
        <v>146260.22</v>
      </c>
      <c r="D11" s="41">
        <f t="shared" si="0"/>
        <v>275910.31</v>
      </c>
      <c r="E11" s="40">
        <f>SUM(D11/D32)*100</f>
        <v>95.179119702623112</v>
      </c>
      <c r="F11" s="27">
        <f>SUM(F9:F10)</f>
        <v>273621.40000000002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 t="s">
        <v>21</v>
      </c>
      <c r="B13" s="24">
        <v>1375.37</v>
      </c>
      <c r="C13" s="24"/>
      <c r="D13" s="24">
        <f>SUM(B13:C13)</f>
        <v>1375.37</v>
      </c>
      <c r="E13" s="40"/>
      <c r="F13" s="24">
        <v>5152.07</v>
      </c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1375.37</v>
      </c>
      <c r="C15" s="41">
        <f>SUM(C13:C14)</f>
        <v>0</v>
      </c>
      <c r="D15" s="41">
        <f>SUM(B15:C15)</f>
        <v>1375.37</v>
      </c>
      <c r="E15" s="40">
        <f>SUM(D15/D32)*100</f>
        <v>0.47445311436675475</v>
      </c>
      <c r="F15" s="27">
        <f>SUM(F13:F14)</f>
        <v>5152.07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7</v>
      </c>
      <c r="B17" s="24">
        <v>70</v>
      </c>
      <c r="C17" s="24"/>
      <c r="D17" s="24">
        <f>SUM(B17:C17)</f>
        <v>70</v>
      </c>
      <c r="E17" s="40"/>
      <c r="F17" s="24">
        <v>0</v>
      </c>
      <c r="G17" s="6"/>
    </row>
    <row r="18" spans="1:7" x14ac:dyDescent="0.2">
      <c r="A18" s="23" t="s">
        <v>192</v>
      </c>
      <c r="B18" s="24">
        <v>3148.17</v>
      </c>
      <c r="C18" s="24"/>
      <c r="D18" s="24">
        <f>SUM(B18:C18)</f>
        <v>3148.17</v>
      </c>
      <c r="E18" s="40"/>
      <c r="F18" s="24">
        <v>2730.72</v>
      </c>
      <c r="G18" s="6"/>
    </row>
    <row r="19" spans="1:7" x14ac:dyDescent="0.2">
      <c r="A19" s="23" t="s">
        <v>184</v>
      </c>
      <c r="B19" s="24">
        <v>802.03</v>
      </c>
      <c r="C19" s="24"/>
      <c r="D19" s="24">
        <f t="shared" ref="D19:D21" si="1">SUM(B19:C19)</f>
        <v>802.03</v>
      </c>
      <c r="E19" s="40"/>
      <c r="F19" s="24">
        <v>1019.34</v>
      </c>
      <c r="G19" s="6"/>
    </row>
    <row r="20" spans="1:7" x14ac:dyDescent="0.2">
      <c r="A20" s="23" t="s">
        <v>185</v>
      </c>
      <c r="B20" s="24">
        <f>546.46</f>
        <v>546.46</v>
      </c>
      <c r="C20" s="24"/>
      <c r="D20" s="24">
        <f t="shared" si="1"/>
        <v>546.46</v>
      </c>
      <c r="E20" s="40"/>
      <c r="F20" s="24">
        <f>1128.67/2</f>
        <v>564.33500000000004</v>
      </c>
      <c r="G20" s="6"/>
    </row>
    <row r="21" spans="1:7" x14ac:dyDescent="0.2">
      <c r="A21" s="23" t="s">
        <v>3</v>
      </c>
      <c r="B21" s="24">
        <v>93</v>
      </c>
      <c r="C21" s="24"/>
      <c r="D21" s="24">
        <f t="shared" si="1"/>
        <v>93</v>
      </c>
      <c r="E21" s="40"/>
      <c r="F21" s="24">
        <f>216/2</f>
        <v>108</v>
      </c>
      <c r="G21" s="6"/>
    </row>
    <row r="22" spans="1:7" x14ac:dyDescent="0.2">
      <c r="A22" s="23" t="s">
        <v>111</v>
      </c>
      <c r="B22" s="24"/>
      <c r="C22" s="24"/>
      <c r="D22" s="24">
        <f>SUM(B22:C22)</f>
        <v>0</v>
      </c>
      <c r="E22" s="40"/>
      <c r="F22" s="24">
        <v>1188.5</v>
      </c>
      <c r="G22" s="6"/>
    </row>
    <row r="23" spans="1:7" x14ac:dyDescent="0.2">
      <c r="A23" s="38" t="s">
        <v>25</v>
      </c>
      <c r="B23" s="41">
        <f>SUM(B17:B22)</f>
        <v>4659.66</v>
      </c>
      <c r="C23" s="41">
        <f>SUM(C17:C22)</f>
        <v>0</v>
      </c>
      <c r="D23" s="41">
        <f>SUM(D17:D22)</f>
        <v>4659.66</v>
      </c>
      <c r="E23" s="40">
        <f>SUM(D23/D32)*100</f>
        <v>1.6074148766442431</v>
      </c>
      <c r="F23" s="27">
        <f>SUM(F17:F22)</f>
        <v>5610.8950000000004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38" t="s">
        <v>27</v>
      </c>
      <c r="B26" s="41">
        <f>SUM(B25)</f>
        <v>0</v>
      </c>
      <c r="C26" s="41">
        <f>SUM(C25)</f>
        <v>0</v>
      </c>
      <c r="D26" s="41">
        <f>SUM(B26:C26)</f>
        <v>0</v>
      </c>
      <c r="E26" s="40">
        <f>SUM(D26/D32)*100</f>
        <v>0</v>
      </c>
      <c r="F26" s="27">
        <f>SUM(F25)</f>
        <v>0</v>
      </c>
      <c r="G26" s="6"/>
    </row>
    <row r="27" spans="1:7" x14ac:dyDescent="0.2">
      <c r="A27" s="38" t="s">
        <v>28</v>
      </c>
      <c r="B27" s="27"/>
      <c r="C27" s="24"/>
      <c r="D27" s="24"/>
      <c r="E27" s="40"/>
      <c r="F27" s="24"/>
      <c r="G27" s="6"/>
    </row>
    <row r="28" spans="1:7" x14ac:dyDescent="0.2">
      <c r="A28" s="23" t="s">
        <v>37</v>
      </c>
      <c r="B28" s="24">
        <v>7882.3</v>
      </c>
      <c r="C28" s="24"/>
      <c r="D28" s="24">
        <f>SUM(B28:C28)</f>
        <v>7882.3</v>
      </c>
      <c r="E28" s="40"/>
      <c r="F28" s="24">
        <v>7882.3</v>
      </c>
      <c r="G28" s="6"/>
    </row>
    <row r="29" spans="1:7" x14ac:dyDescent="0.2">
      <c r="A29" s="23" t="s">
        <v>35</v>
      </c>
      <c r="B29" s="24">
        <f>115.39/2</f>
        <v>57.695</v>
      </c>
      <c r="C29" s="24"/>
      <c r="D29" s="24">
        <f>SUM(B29:C29)</f>
        <v>57.695</v>
      </c>
      <c r="E29" s="40"/>
      <c r="F29" s="24">
        <v>300</v>
      </c>
      <c r="G29" s="6"/>
    </row>
    <row r="30" spans="1:7" x14ac:dyDescent="0.2">
      <c r="A30" s="38" t="s">
        <v>29</v>
      </c>
      <c r="B30" s="41">
        <f>SUM(B28:B29)</f>
        <v>7939.9949999999999</v>
      </c>
      <c r="C30" s="41">
        <f t="shared" ref="C30:D30" si="2">SUM(C28:C29)</f>
        <v>0</v>
      </c>
      <c r="D30" s="41">
        <f t="shared" si="2"/>
        <v>7939.9949999999999</v>
      </c>
      <c r="E30" s="40">
        <f>SUM(D30/D32)*100</f>
        <v>2.7390123063658947</v>
      </c>
      <c r="F30" s="27">
        <f>SUM(F28:F29)</f>
        <v>8182.3</v>
      </c>
      <c r="G30" s="6"/>
    </row>
    <row r="31" spans="1:7" x14ac:dyDescent="0.2">
      <c r="A31" s="38"/>
      <c r="B31" s="27"/>
      <c r="C31" s="24"/>
      <c r="D31" s="27"/>
      <c r="E31" s="40"/>
      <c r="F31" s="24"/>
      <c r="G31" s="6"/>
    </row>
    <row r="32" spans="1:7" x14ac:dyDescent="0.2">
      <c r="A32" s="38" t="s">
        <v>30</v>
      </c>
      <c r="B32" s="41">
        <f>SUM(B30,B26,B23,B15,B11)</f>
        <v>143625.11499999999</v>
      </c>
      <c r="C32" s="41">
        <f>SUM(C30,C26,C23,C15,C11)</f>
        <v>146260.22</v>
      </c>
      <c r="D32" s="41">
        <f>SUM(B32:C32)</f>
        <v>289885.33499999996</v>
      </c>
      <c r="E32" s="40">
        <f>SUM(E11:E30)</f>
        <v>100</v>
      </c>
      <c r="F32" s="27">
        <f>F30+F26+F23+F15+F11</f>
        <v>292566.66500000004</v>
      </c>
      <c r="G32" s="6"/>
    </row>
    <row r="33" spans="1:7" x14ac:dyDescent="0.2">
      <c r="A33" s="59"/>
      <c r="B33" s="60"/>
      <c r="C33" s="60"/>
      <c r="D33" s="60"/>
      <c r="E33" s="61"/>
      <c r="F33" s="62"/>
      <c r="G33" s="6"/>
    </row>
    <row r="34" spans="1:7" x14ac:dyDescent="0.2">
      <c r="A34" s="6"/>
      <c r="B34" s="18"/>
      <c r="C34" s="18"/>
      <c r="D34" s="18"/>
      <c r="E34" s="4"/>
      <c r="F34" s="18"/>
      <c r="G34" s="6"/>
    </row>
    <row r="35" spans="1:7" x14ac:dyDescent="0.2">
      <c r="A35" s="6"/>
      <c r="B35" s="18"/>
      <c r="C35" s="18"/>
      <c r="D35" s="18"/>
      <c r="E35" s="4"/>
      <c r="F35" s="18"/>
      <c r="G35" s="6"/>
    </row>
    <row r="36" spans="1:7" x14ac:dyDescent="0.2">
      <c r="A36" s="6"/>
      <c r="B36" s="18"/>
      <c r="C36" s="18"/>
      <c r="D36" s="18"/>
      <c r="E36" s="4"/>
      <c r="F36" s="18"/>
      <c r="G36" s="6"/>
    </row>
    <row r="37" spans="1:7" x14ac:dyDescent="0.2">
      <c r="A37" s="6"/>
      <c r="B37" s="18"/>
      <c r="C37" s="18"/>
      <c r="D37" s="18"/>
      <c r="E37" s="4"/>
      <c r="F37" s="18"/>
      <c r="G37" s="6"/>
    </row>
    <row r="38" spans="1:7" x14ac:dyDescent="0.2">
      <c r="A38" s="6"/>
      <c r="B38" s="18"/>
      <c r="C38" s="18"/>
      <c r="D38" s="18"/>
      <c r="E38" s="4"/>
      <c r="F38" s="18"/>
      <c r="G38" s="6"/>
    </row>
    <row r="39" spans="1:7" x14ac:dyDescent="0.2">
      <c r="A39" s="6"/>
      <c r="B39" s="18"/>
      <c r="C39" s="18"/>
      <c r="D39" s="18"/>
      <c r="E39" s="4"/>
      <c r="F39" s="18"/>
      <c r="G39" s="6"/>
    </row>
    <row r="40" spans="1:7" x14ac:dyDescent="0.2">
      <c r="A40" s="6"/>
      <c r="B40" s="18"/>
      <c r="C40" s="18"/>
      <c r="D40" s="18"/>
      <c r="E40" s="4"/>
      <c r="F40" s="18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56"/>
      <c r="B42" s="57"/>
      <c r="C42" s="57"/>
      <c r="D42" s="57"/>
      <c r="E42" s="58"/>
      <c r="F42" s="57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132</v>
      </c>
      <c r="B44" s="41"/>
      <c r="C44" s="41"/>
      <c r="D44" s="41"/>
      <c r="E44" s="43"/>
      <c r="F44" s="24"/>
      <c r="G44" s="6"/>
    </row>
    <row r="45" spans="1:7" x14ac:dyDescent="0.2">
      <c r="A45" s="45" t="s">
        <v>130</v>
      </c>
      <c r="B45" s="24">
        <v>17022.080000000002</v>
      </c>
      <c r="C45" s="24">
        <f>22627.16-'003'!B45</f>
        <v>5605.0799999999981</v>
      </c>
      <c r="D45" s="24">
        <f>SUM(B45:C45)</f>
        <v>22627.16</v>
      </c>
      <c r="E45" s="40"/>
      <c r="F45" s="24">
        <v>23056.9</v>
      </c>
      <c r="G45" s="6"/>
    </row>
    <row r="46" spans="1:7" x14ac:dyDescent="0.2">
      <c r="A46" s="42" t="s">
        <v>131</v>
      </c>
      <c r="B46" s="41">
        <f>SUM(B45)</f>
        <v>17022.080000000002</v>
      </c>
      <c r="C46" s="41">
        <f t="shared" ref="C46:D46" si="3">SUM(C45)</f>
        <v>5605.0799999999981</v>
      </c>
      <c r="D46" s="41">
        <f t="shared" si="3"/>
        <v>22627.16</v>
      </c>
      <c r="E46" s="40">
        <f>(D46/D52)*100</f>
        <v>56.521975894585651</v>
      </c>
      <c r="F46" s="27">
        <f>SUM(F45)</f>
        <v>23056.9</v>
      </c>
      <c r="G46" s="6"/>
    </row>
    <row r="47" spans="1:7" x14ac:dyDescent="0.2">
      <c r="A47" s="42"/>
      <c r="B47" s="41"/>
      <c r="C47" s="41"/>
      <c r="D47" s="41"/>
      <c r="E47" s="43"/>
      <c r="F47" s="24"/>
      <c r="G47" s="6"/>
    </row>
    <row r="48" spans="1:7" x14ac:dyDescent="0.2">
      <c r="A48" s="44" t="s">
        <v>128</v>
      </c>
      <c r="B48" s="41"/>
      <c r="C48" s="41"/>
      <c r="D48" s="41"/>
      <c r="E48" s="43"/>
      <c r="F48" s="24"/>
      <c r="G48" s="6"/>
    </row>
    <row r="49" spans="1:7" x14ac:dyDescent="0.2">
      <c r="A49" s="45" t="s">
        <v>128</v>
      </c>
      <c r="B49" s="24">
        <v>15584.24</v>
      </c>
      <c r="C49" s="24">
        <f>17405.34-B49</f>
        <v>1821.1000000000004</v>
      </c>
      <c r="D49" s="24">
        <f>SUM(B49:C49)</f>
        <v>17405.34</v>
      </c>
      <c r="E49" s="40"/>
      <c r="F49" s="24">
        <v>19607.560000000001</v>
      </c>
      <c r="G49" s="6"/>
    </row>
    <row r="50" spans="1:7" x14ac:dyDescent="0.2">
      <c r="A50" s="44" t="s">
        <v>129</v>
      </c>
      <c r="B50" s="41">
        <f>SUM(B49)</f>
        <v>15584.24</v>
      </c>
      <c r="C50" s="41">
        <f>SUM(C49)</f>
        <v>1821.1000000000004</v>
      </c>
      <c r="D50" s="27">
        <f>SUM(B50:C50)</f>
        <v>17405.34</v>
      </c>
      <c r="E50" s="40">
        <f>(D50/D52)*100</f>
        <v>43.478024105414356</v>
      </c>
      <c r="F50" s="27">
        <f>SUM(F49)</f>
        <v>19607.560000000001</v>
      </c>
      <c r="G50" s="6"/>
    </row>
    <row r="51" spans="1:7" x14ac:dyDescent="0.2">
      <c r="A51" s="46"/>
      <c r="B51" s="41"/>
      <c r="C51" s="41"/>
      <c r="D51" s="27"/>
      <c r="E51" s="43"/>
      <c r="F51" s="24"/>
      <c r="G51" s="6"/>
    </row>
    <row r="52" spans="1:7" x14ac:dyDescent="0.2">
      <c r="A52" s="44" t="s">
        <v>60</v>
      </c>
      <c r="B52" s="41">
        <f>B46+B50</f>
        <v>32606.32</v>
      </c>
      <c r="C52" s="41">
        <f t="shared" ref="C52:F52" si="4">C46+C50</f>
        <v>7426.1799999999985</v>
      </c>
      <c r="D52" s="41">
        <f t="shared" si="4"/>
        <v>40032.5</v>
      </c>
      <c r="E52" s="49">
        <f>E46+E50</f>
        <v>100</v>
      </c>
      <c r="F52" s="41">
        <f t="shared" si="4"/>
        <v>42664.460000000006</v>
      </c>
      <c r="G52" s="6"/>
    </row>
    <row r="53" spans="1:7" x14ac:dyDescent="0.2">
      <c r="A53" s="23"/>
      <c r="B53" s="24"/>
      <c r="C53" s="24"/>
      <c r="D53" s="24"/>
      <c r="E53" s="40"/>
      <c r="F53" s="24"/>
      <c r="G53" s="6"/>
    </row>
    <row r="54" spans="1:7" x14ac:dyDescent="0.2">
      <c r="A54" s="26" t="s">
        <v>32</v>
      </c>
      <c r="B54" s="27">
        <f>B52-B32</f>
        <v>-111018.79499999998</v>
      </c>
      <c r="C54" s="27">
        <f t="shared" ref="C54:D54" si="5">C52-C32</f>
        <v>-138834.04</v>
      </c>
      <c r="D54" s="27">
        <f t="shared" si="5"/>
        <v>-249852.83499999996</v>
      </c>
      <c r="E54" s="50"/>
      <c r="F54" s="27">
        <f>F52-F32</f>
        <v>-249902.20500000002</v>
      </c>
      <c r="G54" s="6"/>
    </row>
    <row r="55" spans="1:7" x14ac:dyDescent="0.2">
      <c r="A55" s="7"/>
      <c r="B55" s="10"/>
      <c r="C55" s="10"/>
      <c r="D55" s="10"/>
      <c r="E55" s="4"/>
      <c r="F55" s="11"/>
      <c r="G55" s="6"/>
    </row>
    <row r="56" spans="1:7" x14ac:dyDescent="0.2">
      <c r="A56" s="12"/>
      <c r="B56" s="13"/>
      <c r="C56" s="13"/>
      <c r="D56" s="13"/>
      <c r="E56" s="14"/>
      <c r="F56" s="12"/>
    </row>
    <row r="57" spans="1:7" x14ac:dyDescent="0.2">
      <c r="B57" s="15"/>
      <c r="C57" s="15"/>
      <c r="D57" s="15"/>
    </row>
    <row r="58" spans="1:7" x14ac:dyDescent="0.2">
      <c r="B58" s="15"/>
      <c r="C58" s="15"/>
      <c r="D58" s="15"/>
    </row>
    <row r="59" spans="1:7" x14ac:dyDescent="0.2">
      <c r="B59" s="15"/>
      <c r="C59" s="15"/>
      <c r="D59" s="15"/>
    </row>
    <row r="60" spans="1:7" x14ac:dyDescent="0.2">
      <c r="B60" s="15"/>
      <c r="C60" s="15"/>
      <c r="D60" s="15"/>
    </row>
    <row r="61" spans="1:7" x14ac:dyDescent="0.2">
      <c r="B61" s="15"/>
      <c r="C61" s="15"/>
      <c r="D61" s="15"/>
    </row>
    <row r="62" spans="1:7" x14ac:dyDescent="0.2">
      <c r="B62" s="15"/>
      <c r="C62" s="15"/>
      <c r="D62" s="15"/>
    </row>
    <row r="63" spans="1:7" x14ac:dyDescent="0.2">
      <c r="B63" s="15"/>
      <c r="C63" s="15"/>
      <c r="D63" s="15"/>
    </row>
    <row r="64" spans="1:7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</sheetData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H274"/>
  <sheetViews>
    <sheetView topLeftCell="A10" workbookViewId="0">
      <selection activeCell="A41" sqref="A41:XFD52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35" t="s">
        <v>177</v>
      </c>
      <c r="C3" s="135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9460.09</v>
      </c>
      <c r="C10" s="24">
        <v>11268.15</v>
      </c>
      <c r="D10" s="24">
        <f>SUM(B10:C10)</f>
        <v>20728.239999999998</v>
      </c>
      <c r="E10" s="40"/>
      <c r="F10" s="24">
        <v>15629.76</v>
      </c>
      <c r="G10" s="6"/>
    </row>
    <row r="11" spans="1:8" x14ac:dyDescent="0.2">
      <c r="A11" s="23" t="s">
        <v>34</v>
      </c>
      <c r="B11" s="24">
        <v>2708.95</v>
      </c>
      <c r="C11" s="24">
        <v>3063.53</v>
      </c>
      <c r="D11" s="24">
        <f>SUM(B11:C11)</f>
        <v>5772.48</v>
      </c>
      <c r="E11" s="40"/>
      <c r="F11" s="24">
        <v>4370.6400000000003</v>
      </c>
      <c r="G11" s="6"/>
    </row>
    <row r="12" spans="1:8" x14ac:dyDescent="0.2">
      <c r="A12" s="38" t="s">
        <v>19</v>
      </c>
      <c r="B12" s="41">
        <f>SUM(B10:B11)</f>
        <v>12169.04</v>
      </c>
      <c r="C12" s="41">
        <f t="shared" ref="C12:D12" si="0">SUM(C10:C11)</f>
        <v>14331.68</v>
      </c>
      <c r="D12" s="41">
        <f t="shared" si="0"/>
        <v>26500.719999999998</v>
      </c>
      <c r="E12" s="40">
        <f>SUM(D12/D29)*100</f>
        <v>91.065387982994238</v>
      </c>
      <c r="F12" s="27">
        <f>SUM(F10:F11)</f>
        <v>20000.400000000001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21</v>
      </c>
      <c r="B14" s="24">
        <v>913.24</v>
      </c>
      <c r="C14" s="24"/>
      <c r="D14" s="24">
        <f>SUM(B14:C14)</f>
        <v>913.24</v>
      </c>
      <c r="E14" s="40"/>
      <c r="F14" s="24">
        <v>417.82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913.24</v>
      </c>
      <c r="C16" s="41">
        <f>SUM(C14:C15)</f>
        <v>0</v>
      </c>
      <c r="D16" s="41">
        <f>SUM(B16:C16)</f>
        <v>913.24</v>
      </c>
      <c r="E16" s="40">
        <f>SUM(D16/D29)*100</f>
        <v>3.1381998270835534</v>
      </c>
      <c r="F16" s="27">
        <f>SUM(F14:F15)</f>
        <v>417.82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112</v>
      </c>
      <c r="B18" s="24"/>
      <c r="C18" s="24"/>
      <c r="D18" s="24">
        <f>SUM(B18:C18)</f>
        <v>0</v>
      </c>
      <c r="E18" s="40"/>
      <c r="F18" s="24">
        <v>1089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1089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778.49</v>
      </c>
      <c r="C25" s="24">
        <v>908.31</v>
      </c>
      <c r="D25" s="24">
        <f>SUM(B25:C25)</f>
        <v>1686.8</v>
      </c>
      <c r="E25" s="40"/>
      <c r="F25" s="24">
        <v>1306.5</v>
      </c>
      <c r="G25" s="6"/>
    </row>
    <row r="26" spans="1:7" x14ac:dyDescent="0.2">
      <c r="A26" s="23"/>
      <c r="B26" s="24"/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778.49</v>
      </c>
      <c r="C27" s="41">
        <f t="shared" ref="C27:D27" si="1">SUM(C25:C26)</f>
        <v>908.31</v>
      </c>
      <c r="D27" s="41">
        <f t="shared" si="1"/>
        <v>1686.8</v>
      </c>
      <c r="E27" s="40">
        <f>SUM(D27/D29)*100</f>
        <v>5.7964121899221874</v>
      </c>
      <c r="F27" s="27">
        <f>SUM(F25:F26)</f>
        <v>1306.5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13860.77</v>
      </c>
      <c r="C29" s="41">
        <f>SUM(C27,C23,C20,C16,C12)</f>
        <v>15239.99</v>
      </c>
      <c r="D29" s="41">
        <f>SUM(B29:C29)</f>
        <v>29100.760000000002</v>
      </c>
      <c r="E29" s="40">
        <f>SUM(E12:E27)</f>
        <v>99.999999999999986</v>
      </c>
      <c r="F29" s="27">
        <f>F27+F23+F20+F16+F12</f>
        <v>22813.72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128</v>
      </c>
      <c r="B32" s="41"/>
      <c r="C32" s="41"/>
      <c r="D32" s="41"/>
      <c r="E32" s="43"/>
      <c r="F32" s="24"/>
      <c r="G32" s="6"/>
    </row>
    <row r="33" spans="1:7" x14ac:dyDescent="0.2">
      <c r="A33" s="45" t="s">
        <v>133</v>
      </c>
      <c r="B33" s="24">
        <v>42574.7</v>
      </c>
      <c r="C33" s="24">
        <v>0</v>
      </c>
      <c r="D33" s="24">
        <f>SUM(B33:C33)</f>
        <v>42574.7</v>
      </c>
      <c r="E33" s="40"/>
      <c r="F33" s="24">
        <v>47513.3</v>
      </c>
      <c r="G33" s="6"/>
    </row>
    <row r="34" spans="1:7" x14ac:dyDescent="0.2">
      <c r="A34" s="44" t="s">
        <v>129</v>
      </c>
      <c r="B34" s="41">
        <f>SUM(B33)</f>
        <v>42574.7</v>
      </c>
      <c r="C34" s="41">
        <f>SUM(C33)</f>
        <v>0</v>
      </c>
      <c r="D34" s="27">
        <f>SUM(B34:C34)</f>
        <v>42574.7</v>
      </c>
      <c r="E34" s="51">
        <f>(D34/D36)*100</f>
        <v>100</v>
      </c>
      <c r="F34" s="27">
        <f>SUM(F33)</f>
        <v>47513.3</v>
      </c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42574.7</v>
      </c>
      <c r="C36" s="41">
        <f t="shared" ref="C36:F36" si="2">C30+C34</f>
        <v>0</v>
      </c>
      <c r="D36" s="41">
        <f t="shared" si="2"/>
        <v>42574.7</v>
      </c>
      <c r="E36" s="49">
        <f>SUM(E34)</f>
        <v>100</v>
      </c>
      <c r="F36" s="41">
        <f t="shared" si="2"/>
        <v>47513.3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28713.929999999997</v>
      </c>
      <c r="C38" s="27">
        <f t="shared" ref="C38:F38" si="3">C36-C29</f>
        <v>-15239.99</v>
      </c>
      <c r="D38" s="27">
        <f t="shared" si="3"/>
        <v>13473.939999999995</v>
      </c>
      <c r="E38" s="27"/>
      <c r="F38" s="27">
        <f t="shared" si="3"/>
        <v>24699.58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274"/>
  <sheetViews>
    <sheetView topLeftCell="D13" workbookViewId="0">
      <selection activeCell="D41" sqref="A41:XFD52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178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12479.16</v>
      </c>
      <c r="C10" s="24">
        <v>14568.33</v>
      </c>
      <c r="D10" s="24">
        <f>SUM(B10:C10)</f>
        <v>27047.489999999998</v>
      </c>
      <c r="E10" s="40"/>
      <c r="F10" s="24">
        <v>26877.66</v>
      </c>
      <c r="G10" s="6"/>
    </row>
    <row r="11" spans="1:8" x14ac:dyDescent="0.2">
      <c r="A11" s="23" t="s">
        <v>34</v>
      </c>
      <c r="B11" s="24">
        <v>3539.32</v>
      </c>
      <c r="C11" s="24">
        <v>3837.5</v>
      </c>
      <c r="D11" s="24">
        <f>SUM(B11:C11)</f>
        <v>7376.82</v>
      </c>
      <c r="E11" s="40"/>
      <c r="F11" s="24">
        <v>7376.82</v>
      </c>
      <c r="G11" s="6"/>
    </row>
    <row r="12" spans="1:8" x14ac:dyDescent="0.2">
      <c r="A12" s="38" t="s">
        <v>19</v>
      </c>
      <c r="B12" s="41">
        <f>SUM(B10:B11)</f>
        <v>16018.48</v>
      </c>
      <c r="C12" s="41">
        <f t="shared" ref="C12:D12" si="0">SUM(C10:C11)</f>
        <v>18405.830000000002</v>
      </c>
      <c r="D12" s="41">
        <f t="shared" si="0"/>
        <v>34424.31</v>
      </c>
      <c r="E12" s="40">
        <f>SUM(D12/D29)*100</f>
        <v>93.741942932954842</v>
      </c>
      <c r="F12" s="27">
        <f>SUM(F10:F11)</f>
        <v>34254.479999999996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1061.1400000000001</v>
      </c>
      <c r="C25" s="24">
        <v>1236.97</v>
      </c>
      <c r="D25" s="24">
        <f>SUM(B25:C25)</f>
        <v>2298.11</v>
      </c>
      <c r="E25" s="40"/>
      <c r="F25" s="24">
        <v>2284.79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1061.1400000000001</v>
      </c>
      <c r="C27" s="41">
        <f t="shared" ref="C27:D27" si="1">SUM(C25:C26)</f>
        <v>1236.97</v>
      </c>
      <c r="D27" s="41">
        <f t="shared" si="1"/>
        <v>2298.11</v>
      </c>
      <c r="E27" s="40">
        <f>SUM(D27/D29)*100</f>
        <v>6.2580570670451463</v>
      </c>
      <c r="F27" s="27">
        <f>SUM(F25:F26)</f>
        <v>2284.79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17079.62</v>
      </c>
      <c r="C29" s="41">
        <f>SUM(C27,C23,C20,C16,C12)</f>
        <v>19642.800000000003</v>
      </c>
      <c r="D29" s="41">
        <f>SUM(B29:C29)</f>
        <v>36722.42</v>
      </c>
      <c r="E29" s="40">
        <f>SUM(E12:E27)</f>
        <v>99.999999999999986</v>
      </c>
      <c r="F29" s="27">
        <f>F27+F23+F20+F16+F12</f>
        <v>36539.269999999997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134</v>
      </c>
      <c r="B32" s="41"/>
      <c r="C32" s="41"/>
      <c r="D32" s="41"/>
      <c r="E32" s="43"/>
      <c r="F32" s="24"/>
      <c r="G32" s="6"/>
    </row>
    <row r="33" spans="1:7" x14ac:dyDescent="0.2">
      <c r="A33" s="45" t="s">
        <v>136</v>
      </c>
      <c r="B33" s="24">
        <v>29986.29</v>
      </c>
      <c r="C33" s="24">
        <f>34335.66-B33</f>
        <v>4349.3700000000026</v>
      </c>
      <c r="D33" s="24">
        <f>SUM(B33:C33)</f>
        <v>34335.660000000003</v>
      </c>
      <c r="E33" s="40"/>
      <c r="F33" s="24">
        <v>35607.230000000003</v>
      </c>
      <c r="G33" s="6"/>
    </row>
    <row r="34" spans="1:7" x14ac:dyDescent="0.2">
      <c r="A34" s="44" t="s">
        <v>135</v>
      </c>
      <c r="B34" s="41">
        <f>SUM(B33)</f>
        <v>29986.29</v>
      </c>
      <c r="C34" s="41">
        <f>SUM(C33)</f>
        <v>4349.3700000000026</v>
      </c>
      <c r="D34" s="27">
        <f>SUM(B34:C34)</f>
        <v>34335.660000000003</v>
      </c>
      <c r="E34" s="51">
        <f>(D34/D36)*100</f>
        <v>100</v>
      </c>
      <c r="F34" s="27">
        <f>SUM(F33)</f>
        <v>35607.230000000003</v>
      </c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29986.29</v>
      </c>
      <c r="C36" s="41">
        <f t="shared" ref="C36:F36" si="2">C30+C34</f>
        <v>4349.3700000000026</v>
      </c>
      <c r="D36" s="41">
        <f t="shared" si="2"/>
        <v>34335.660000000003</v>
      </c>
      <c r="E36" s="49">
        <f>SUM(E34)</f>
        <v>100</v>
      </c>
      <c r="F36" s="41">
        <f t="shared" si="2"/>
        <v>35607.230000000003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12906.670000000002</v>
      </c>
      <c r="C38" s="27">
        <f t="shared" ref="C38:D38" si="3">C36-C29</f>
        <v>-15293.43</v>
      </c>
      <c r="D38" s="27">
        <f t="shared" si="3"/>
        <v>-2386.7599999999948</v>
      </c>
      <c r="E38" s="47">
        <f t="shared" ref="E38" si="4">E31-E29</f>
        <v>-99.999999999999986</v>
      </c>
      <c r="F38" s="27">
        <f>F36-F29</f>
        <v>-932.0399999999936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3:K46"/>
  <sheetViews>
    <sheetView topLeftCell="A40" workbookViewId="0">
      <selection activeCell="B42" sqref="B42"/>
    </sheetView>
  </sheetViews>
  <sheetFormatPr defaultRowHeight="12.75" x14ac:dyDescent="0.2"/>
  <cols>
    <col min="1" max="1" width="26.42578125" style="21" bestFit="1" customWidth="1"/>
    <col min="2" max="2" width="11" style="21" bestFit="1" customWidth="1"/>
    <col min="3" max="3" width="9.28515625" style="21" bestFit="1" customWidth="1"/>
    <col min="4" max="4" width="10.7109375" style="21" customWidth="1"/>
    <col min="5" max="6" width="9.28515625" style="21" bestFit="1" customWidth="1"/>
    <col min="7" max="7" width="13.28515625" style="21" bestFit="1" customWidth="1"/>
    <col min="8" max="10" width="11" style="21" bestFit="1" customWidth="1"/>
    <col min="11" max="16384" width="9.140625" style="21"/>
  </cols>
  <sheetData>
    <row r="3" spans="1:11" ht="23.25" x14ac:dyDescent="0.35">
      <c r="A3" s="140" t="s">
        <v>46</v>
      </c>
      <c r="B3" s="140"/>
      <c r="C3" s="140"/>
      <c r="D3" s="140"/>
      <c r="E3" s="140"/>
      <c r="F3" s="140"/>
      <c r="G3" s="140"/>
      <c r="H3" s="140"/>
      <c r="I3" s="140"/>
      <c r="J3" s="140"/>
    </row>
    <row r="5" spans="1:11" ht="23.25" x14ac:dyDescent="0.35">
      <c r="A5" s="28" t="s">
        <v>54</v>
      </c>
      <c r="B5" s="139" t="s">
        <v>47</v>
      </c>
      <c r="C5" s="139"/>
      <c r="D5" s="23"/>
      <c r="E5" s="140" t="s">
        <v>48</v>
      </c>
      <c r="F5" s="140"/>
      <c r="G5" s="140"/>
      <c r="H5" s="140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8" t="s">
        <v>56</v>
      </c>
      <c r="D7" s="138" t="s">
        <v>57</v>
      </c>
      <c r="E7" s="138" t="s">
        <v>58</v>
      </c>
      <c r="F7" s="138" t="s">
        <v>64</v>
      </c>
      <c r="G7" s="138" t="s">
        <v>2</v>
      </c>
      <c r="H7" s="137" t="s">
        <v>59</v>
      </c>
      <c r="I7" s="137" t="s">
        <v>60</v>
      </c>
      <c r="J7" s="138" t="s">
        <v>61</v>
      </c>
    </row>
    <row r="8" spans="1:11" ht="24.75" customHeight="1" x14ac:dyDescent="0.2">
      <c r="A8" s="23"/>
      <c r="B8" s="23" t="s">
        <v>49</v>
      </c>
      <c r="C8" s="138"/>
      <c r="D8" s="138"/>
      <c r="E8" s="138"/>
      <c r="F8" s="138"/>
      <c r="G8" s="138"/>
      <c r="H8" s="137"/>
      <c r="I8" s="137"/>
      <c r="J8" s="138"/>
    </row>
    <row r="9" spans="1:11" x14ac:dyDescent="0.2">
      <c r="A9" s="23" t="s">
        <v>55</v>
      </c>
      <c r="B9" s="24">
        <f>'001'!B12</f>
        <v>33178.58</v>
      </c>
      <c r="C9" s="24">
        <f>'001'!B16</f>
        <v>0</v>
      </c>
      <c r="D9" s="24">
        <f>'001'!B20</f>
        <v>0</v>
      </c>
      <c r="E9" s="24">
        <v>0</v>
      </c>
      <c r="F9" s="24">
        <f>'001'!B23</f>
        <v>0</v>
      </c>
      <c r="G9" s="24">
        <f>'001'!B26</f>
        <v>2157.84</v>
      </c>
      <c r="H9" s="24">
        <f>SUM(B9:G9)</f>
        <v>35336.42</v>
      </c>
      <c r="I9" s="24">
        <f>'001'!B35</f>
        <v>1000</v>
      </c>
      <c r="J9" s="24">
        <f>I9-H9</f>
        <v>-34336.42</v>
      </c>
    </row>
    <row r="10" spans="1:11" x14ac:dyDescent="0.2">
      <c r="A10" s="23" t="s">
        <v>50</v>
      </c>
      <c r="B10" s="24">
        <f>'003'!B11</f>
        <v>129650.09</v>
      </c>
      <c r="C10" s="24">
        <f>'003'!B15</f>
        <v>1375.37</v>
      </c>
      <c r="D10" s="24">
        <f>'003'!B23</f>
        <v>4659.66</v>
      </c>
      <c r="E10" s="24">
        <v>0</v>
      </c>
      <c r="F10" s="24">
        <f>'003'!B26</f>
        <v>0</v>
      </c>
      <c r="G10" s="24">
        <f>'003'!B30</f>
        <v>7939.9949999999999</v>
      </c>
      <c r="H10" s="24">
        <f>SUM(B10:G10)</f>
        <v>143625.11499999999</v>
      </c>
      <c r="I10" s="24">
        <f>'003'!B52</f>
        <v>32606.32</v>
      </c>
      <c r="J10" s="24">
        <f t="shared" ref="J10:J13" si="0">I10-H10</f>
        <v>-111018.79499999998</v>
      </c>
    </row>
    <row r="11" spans="1:11" x14ac:dyDescent="0.2">
      <c r="A11" s="23" t="s">
        <v>51</v>
      </c>
      <c r="B11" s="24">
        <f>'004'!B12</f>
        <v>12169.04</v>
      </c>
      <c r="C11" s="24">
        <f>'004'!B16</f>
        <v>913.24</v>
      </c>
      <c r="D11" s="24">
        <f>'004'!B20</f>
        <v>0</v>
      </c>
      <c r="E11" s="24">
        <v>0</v>
      </c>
      <c r="F11" s="24">
        <f>'004'!B23</f>
        <v>0</v>
      </c>
      <c r="G11" s="24">
        <f>'004'!B27</f>
        <v>778.49</v>
      </c>
      <c r="H11" s="24">
        <f>SUM(B11:G11)</f>
        <v>13860.77</v>
      </c>
      <c r="I11" s="24">
        <f>'004'!B36</f>
        <v>42574.7</v>
      </c>
      <c r="J11" s="24">
        <f t="shared" si="0"/>
        <v>28713.929999999997</v>
      </c>
    </row>
    <row r="12" spans="1:11" x14ac:dyDescent="0.2">
      <c r="A12" s="23" t="s">
        <v>52</v>
      </c>
      <c r="B12" s="24">
        <f>'005'!B12</f>
        <v>16018.48</v>
      </c>
      <c r="C12" s="24">
        <f>'005'!B16</f>
        <v>0</v>
      </c>
      <c r="D12" s="24">
        <f>'005'!B20</f>
        <v>0</v>
      </c>
      <c r="E12" s="24">
        <v>0</v>
      </c>
      <c r="F12" s="24">
        <f>'005'!B23</f>
        <v>0</v>
      </c>
      <c r="G12" s="24">
        <f>'005'!B27</f>
        <v>1061.1400000000001</v>
      </c>
      <c r="H12" s="24">
        <f>SUM(B12:G12)</f>
        <v>17079.62</v>
      </c>
      <c r="I12" s="24">
        <f>'005'!B36</f>
        <v>29986.29</v>
      </c>
      <c r="J12" s="24">
        <f t="shared" si="0"/>
        <v>12906.670000000002</v>
      </c>
    </row>
    <row r="13" spans="1:11" x14ac:dyDescent="0.2">
      <c r="A13" s="26" t="s">
        <v>53</v>
      </c>
      <c r="B13" s="27">
        <f>SUM(B9:B12)</f>
        <v>191016.19</v>
      </c>
      <c r="C13" s="27">
        <f t="shared" ref="C13:G13" si="1">SUM(C9:C12)</f>
        <v>2288.6099999999997</v>
      </c>
      <c r="D13" s="27">
        <f t="shared" si="1"/>
        <v>4659.66</v>
      </c>
      <c r="E13" s="27">
        <f t="shared" si="1"/>
        <v>0</v>
      </c>
      <c r="F13" s="27">
        <f t="shared" si="1"/>
        <v>0</v>
      </c>
      <c r="G13" s="27">
        <f t="shared" si="1"/>
        <v>11937.464999999998</v>
      </c>
      <c r="H13" s="27">
        <f>SUM(H9:H12)</f>
        <v>209901.92499999996</v>
      </c>
      <c r="I13" s="27">
        <f>SUM(I9:I12)</f>
        <v>106167.31</v>
      </c>
      <c r="J13" s="27">
        <f t="shared" si="0"/>
        <v>-103734.61499999996</v>
      </c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</row>
    <row r="20" spans="1:11" x14ac:dyDescent="0.2">
      <c r="A20" s="6"/>
    </row>
    <row r="38" spans="1:10" ht="23.25" x14ac:dyDescent="0.35">
      <c r="A38" s="28" t="s">
        <v>286</v>
      </c>
      <c r="B38" s="139" t="s">
        <v>47</v>
      </c>
      <c r="C38" s="139"/>
      <c r="D38" s="23"/>
      <c r="E38" s="140" t="s">
        <v>48</v>
      </c>
      <c r="F38" s="140"/>
      <c r="G38" s="140"/>
      <c r="H38" s="140"/>
    </row>
    <row r="39" spans="1:10" x14ac:dyDescent="0.2">
      <c r="B39" s="6"/>
      <c r="C39" s="7"/>
      <c r="D39" s="6"/>
      <c r="E39" s="6"/>
      <c r="F39" s="6"/>
      <c r="G39" s="6"/>
      <c r="H39" s="29" t="s">
        <v>63</v>
      </c>
      <c r="I39" s="29" t="s">
        <v>62</v>
      </c>
      <c r="J39" s="6"/>
    </row>
    <row r="40" spans="1:10" x14ac:dyDescent="0.2">
      <c r="A40" s="23"/>
      <c r="B40" s="23"/>
      <c r="C40" s="138" t="s">
        <v>56</v>
      </c>
      <c r="D40" s="138" t="s">
        <v>57</v>
      </c>
      <c r="E40" s="138" t="s">
        <v>58</v>
      </c>
      <c r="F40" s="138" t="s">
        <v>64</v>
      </c>
      <c r="G40" s="138" t="s">
        <v>2</v>
      </c>
      <c r="H40" s="137" t="s">
        <v>59</v>
      </c>
      <c r="I40" s="137" t="s">
        <v>60</v>
      </c>
      <c r="J40" s="138" t="s">
        <v>61</v>
      </c>
    </row>
    <row r="41" spans="1:10" x14ac:dyDescent="0.2">
      <c r="A41" s="23"/>
      <c r="B41" s="23" t="s">
        <v>49</v>
      </c>
      <c r="C41" s="138"/>
      <c r="D41" s="138"/>
      <c r="E41" s="138"/>
      <c r="F41" s="138"/>
      <c r="G41" s="138"/>
      <c r="H41" s="137"/>
      <c r="I41" s="137"/>
      <c r="J41" s="138"/>
    </row>
    <row r="42" spans="1:10" x14ac:dyDescent="0.2">
      <c r="A42" s="23" t="s">
        <v>55</v>
      </c>
      <c r="B42" s="24">
        <f>'001'!C12</f>
        <v>37841.49</v>
      </c>
      <c r="C42" s="24">
        <f>'001'!C16</f>
        <v>0</v>
      </c>
      <c r="D42" s="24">
        <f>'001'!C20</f>
        <v>0</v>
      </c>
      <c r="E42" s="24">
        <v>0</v>
      </c>
      <c r="F42" s="24">
        <f>'001'!C23</f>
        <v>0</v>
      </c>
      <c r="G42" s="24">
        <f>'001'!C26</f>
        <v>2436.1</v>
      </c>
      <c r="H42" s="24">
        <f>SUM(B42:G42)</f>
        <v>40277.589999999997</v>
      </c>
      <c r="I42" s="24">
        <f>'001'!C35</f>
        <v>0</v>
      </c>
      <c r="J42" s="24">
        <f>I42-H42</f>
        <v>-40277.589999999997</v>
      </c>
    </row>
    <row r="43" spans="1:10" x14ac:dyDescent="0.2">
      <c r="A43" s="23" t="s">
        <v>50</v>
      </c>
      <c r="B43" s="24">
        <f>'003'!C11</f>
        <v>146260.22</v>
      </c>
      <c r="C43" s="24">
        <f>'003'!C15</f>
        <v>0</v>
      </c>
      <c r="D43" s="24">
        <f>'003'!C23</f>
        <v>0</v>
      </c>
      <c r="E43" s="24">
        <v>0</v>
      </c>
      <c r="F43" s="24">
        <f>'003'!C26</f>
        <v>0</v>
      </c>
      <c r="G43" s="24" t="e">
        <f>'003'!#REF!</f>
        <v>#REF!</v>
      </c>
      <c r="H43" s="24" t="e">
        <f>SUM(B43:G43)</f>
        <v>#REF!</v>
      </c>
      <c r="I43" s="24">
        <f>'003'!C52</f>
        <v>7426.1799999999985</v>
      </c>
      <c r="J43" s="24" t="e">
        <f t="shared" ref="J43:J46" si="2">I43-H43</f>
        <v>#REF!</v>
      </c>
    </row>
    <row r="44" spans="1:10" x14ac:dyDescent="0.2">
      <c r="A44" s="23" t="s">
        <v>51</v>
      </c>
      <c r="B44" s="24">
        <f>'004'!C12</f>
        <v>14331.68</v>
      </c>
      <c r="C44" s="24">
        <f>'004'!C16</f>
        <v>0</v>
      </c>
      <c r="D44" s="24">
        <f>'004'!C20</f>
        <v>0</v>
      </c>
      <c r="E44" s="24">
        <v>0</v>
      </c>
      <c r="F44" s="24">
        <f>'004'!C23</f>
        <v>0</v>
      </c>
      <c r="G44" s="24">
        <f>'004'!C27</f>
        <v>908.31</v>
      </c>
      <c r="H44" s="24">
        <f>SUM(B44:G44)</f>
        <v>15239.99</v>
      </c>
      <c r="I44" s="24">
        <f>'004'!C36</f>
        <v>0</v>
      </c>
      <c r="J44" s="24">
        <f t="shared" si="2"/>
        <v>-15239.99</v>
      </c>
    </row>
    <row r="45" spans="1:10" x14ac:dyDescent="0.2">
      <c r="A45" s="23" t="s">
        <v>52</v>
      </c>
      <c r="B45" s="24">
        <f>'005'!C12</f>
        <v>18405.830000000002</v>
      </c>
      <c r="C45" s="24">
        <f>'005'!C16</f>
        <v>0</v>
      </c>
      <c r="D45" s="24">
        <f>'005'!C20</f>
        <v>0</v>
      </c>
      <c r="E45" s="24">
        <v>0</v>
      </c>
      <c r="F45" s="24">
        <f>'005'!C23</f>
        <v>0</v>
      </c>
      <c r="G45" s="24">
        <f>'005'!C27</f>
        <v>1236.97</v>
      </c>
      <c r="H45" s="24">
        <f>SUM(B45:G45)</f>
        <v>19642.800000000003</v>
      </c>
      <c r="I45" s="24">
        <f>'005'!C36</f>
        <v>4349.3700000000026</v>
      </c>
      <c r="J45" s="24">
        <f t="shared" si="2"/>
        <v>-15293.43</v>
      </c>
    </row>
    <row r="46" spans="1:10" x14ac:dyDescent="0.2">
      <c r="A46" s="26" t="s">
        <v>53</v>
      </c>
      <c r="B46" s="27">
        <f>SUM(B42:B45)</f>
        <v>216839.21999999997</v>
      </c>
      <c r="C46" s="27">
        <f t="shared" ref="C46:G46" si="3">SUM(C42:C45)</f>
        <v>0</v>
      </c>
      <c r="D46" s="27">
        <f t="shared" si="3"/>
        <v>0</v>
      </c>
      <c r="E46" s="27">
        <f t="shared" si="3"/>
        <v>0</v>
      </c>
      <c r="F46" s="27">
        <f t="shared" si="3"/>
        <v>0</v>
      </c>
      <c r="G46" s="27" t="e">
        <f t="shared" si="3"/>
        <v>#REF!</v>
      </c>
      <c r="H46" s="27" t="e">
        <f>SUM(H42:H45)</f>
        <v>#REF!</v>
      </c>
      <c r="I46" s="27">
        <f>SUM(I42:I45)</f>
        <v>11775.550000000001</v>
      </c>
      <c r="J46" s="27" t="e">
        <f t="shared" si="2"/>
        <v>#REF!</v>
      </c>
    </row>
  </sheetData>
  <mergeCells count="21">
    <mergeCell ref="A3:J3"/>
    <mergeCell ref="J7:J8"/>
    <mergeCell ref="F7:F8"/>
    <mergeCell ref="B5:C5"/>
    <mergeCell ref="E5:H5"/>
    <mergeCell ref="C7:C8"/>
    <mergeCell ref="D7:D8"/>
    <mergeCell ref="E7:E8"/>
    <mergeCell ref="G7:G8"/>
    <mergeCell ref="H7:H8"/>
    <mergeCell ref="I7:I8"/>
    <mergeCell ref="I40:I41"/>
    <mergeCell ref="J40:J41"/>
    <mergeCell ref="B38:C38"/>
    <mergeCell ref="E38:H38"/>
    <mergeCell ref="C40:C41"/>
    <mergeCell ref="D40:D41"/>
    <mergeCell ref="E40:E41"/>
    <mergeCell ref="F40:F41"/>
    <mergeCell ref="G40:G41"/>
    <mergeCell ref="H40:H41"/>
  </mergeCells>
  <pageMargins left="0.8" right="0.75" top="1" bottom="1" header="0.5" footer="0.5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zoomScale="85" workbookViewId="0">
      <selection activeCell="N15" sqref="N15"/>
    </sheetView>
  </sheetViews>
  <sheetFormatPr defaultRowHeight="12.75" x14ac:dyDescent="0.2"/>
  <cols>
    <col min="1" max="1" width="2.85546875" style="64" customWidth="1"/>
    <col min="2" max="2" width="9.140625" style="64"/>
    <col min="3" max="3" width="10.5703125" style="64" customWidth="1"/>
    <col min="4" max="4" width="7.85546875" style="64" customWidth="1"/>
    <col min="5" max="5" width="2.85546875" style="64" customWidth="1"/>
    <col min="6" max="6" width="21.7109375" style="64" customWidth="1"/>
    <col min="7" max="7" width="2.85546875" style="64" customWidth="1"/>
    <col min="8" max="8" width="27.7109375" style="64" customWidth="1"/>
    <col min="9" max="9" width="0" style="64" hidden="1" customWidth="1"/>
    <col min="10" max="10" width="2.85546875" style="64" customWidth="1"/>
    <col min="11" max="11" width="21.7109375" style="64" customWidth="1"/>
    <col min="12" max="12" width="2.85546875" style="64" customWidth="1"/>
    <col min="13" max="13" width="21.7109375" style="64" customWidth="1"/>
    <col min="14" max="247" width="9.140625" style="64"/>
    <col min="248" max="248" width="2" style="64" customWidth="1"/>
    <col min="249" max="250" width="9.140625" style="64"/>
    <col min="251" max="251" width="7.28515625" style="64" customWidth="1"/>
    <col min="252" max="252" width="2.85546875" style="64" customWidth="1"/>
    <col min="253" max="253" width="9.140625" style="64"/>
    <col min="254" max="254" width="10.5703125" style="64" customWidth="1"/>
    <col min="255" max="255" width="7.85546875" style="64" customWidth="1"/>
    <col min="256" max="256" width="2.85546875" style="64" customWidth="1"/>
    <col min="257" max="257" width="21" style="64" customWidth="1"/>
    <col min="258" max="258" width="23.5703125" style="64" customWidth="1"/>
    <col min="259" max="259" width="12.140625" style="64" customWidth="1"/>
    <col min="260" max="260" width="3.28515625" style="64" customWidth="1"/>
    <col min="261" max="261" width="26.85546875" style="64" customWidth="1"/>
    <col min="262" max="262" width="0" style="64" hidden="1" customWidth="1"/>
    <col min="263" max="263" width="2.140625" style="64" customWidth="1"/>
    <col min="264" max="503" width="9.140625" style="64"/>
    <col min="504" max="504" width="2" style="64" customWidth="1"/>
    <col min="505" max="506" width="9.140625" style="64"/>
    <col min="507" max="507" width="7.28515625" style="64" customWidth="1"/>
    <col min="508" max="508" width="2.85546875" style="64" customWidth="1"/>
    <col min="509" max="509" width="9.140625" style="64"/>
    <col min="510" max="510" width="10.5703125" style="64" customWidth="1"/>
    <col min="511" max="511" width="7.85546875" style="64" customWidth="1"/>
    <col min="512" max="512" width="2.85546875" style="64" customWidth="1"/>
    <col min="513" max="513" width="21" style="64" customWidth="1"/>
    <col min="514" max="514" width="23.5703125" style="64" customWidth="1"/>
    <col min="515" max="515" width="12.140625" style="64" customWidth="1"/>
    <col min="516" max="516" width="3.28515625" style="64" customWidth="1"/>
    <col min="517" max="517" width="26.85546875" style="64" customWidth="1"/>
    <col min="518" max="518" width="0" style="64" hidden="1" customWidth="1"/>
    <col min="519" max="519" width="2.140625" style="64" customWidth="1"/>
    <col min="520" max="759" width="9.140625" style="64"/>
    <col min="760" max="760" width="2" style="64" customWidth="1"/>
    <col min="761" max="762" width="9.140625" style="64"/>
    <col min="763" max="763" width="7.28515625" style="64" customWidth="1"/>
    <col min="764" max="764" width="2.85546875" style="64" customWidth="1"/>
    <col min="765" max="765" width="9.140625" style="64"/>
    <col min="766" max="766" width="10.5703125" style="64" customWidth="1"/>
    <col min="767" max="767" width="7.85546875" style="64" customWidth="1"/>
    <col min="768" max="768" width="2.85546875" style="64" customWidth="1"/>
    <col min="769" max="769" width="21" style="64" customWidth="1"/>
    <col min="770" max="770" width="23.5703125" style="64" customWidth="1"/>
    <col min="771" max="771" width="12.140625" style="64" customWidth="1"/>
    <col min="772" max="772" width="3.28515625" style="64" customWidth="1"/>
    <col min="773" max="773" width="26.85546875" style="64" customWidth="1"/>
    <col min="774" max="774" width="0" style="64" hidden="1" customWidth="1"/>
    <col min="775" max="775" width="2.140625" style="64" customWidth="1"/>
    <col min="776" max="1015" width="9.140625" style="64"/>
    <col min="1016" max="1016" width="2" style="64" customWidth="1"/>
    <col min="1017" max="1018" width="9.140625" style="64"/>
    <col min="1019" max="1019" width="7.28515625" style="64" customWidth="1"/>
    <col min="1020" max="1020" width="2.85546875" style="64" customWidth="1"/>
    <col min="1021" max="1021" width="9.140625" style="64"/>
    <col min="1022" max="1022" width="10.5703125" style="64" customWidth="1"/>
    <col min="1023" max="1023" width="7.85546875" style="64" customWidth="1"/>
    <col min="1024" max="1024" width="2.85546875" style="64" customWidth="1"/>
    <col min="1025" max="1025" width="21" style="64" customWidth="1"/>
    <col min="1026" max="1026" width="23.5703125" style="64" customWidth="1"/>
    <col min="1027" max="1027" width="12.140625" style="64" customWidth="1"/>
    <col min="1028" max="1028" width="3.28515625" style="64" customWidth="1"/>
    <col min="1029" max="1029" width="26.85546875" style="64" customWidth="1"/>
    <col min="1030" max="1030" width="0" style="64" hidden="1" customWidth="1"/>
    <col min="1031" max="1031" width="2.140625" style="64" customWidth="1"/>
    <col min="1032" max="1271" width="9.140625" style="64"/>
    <col min="1272" max="1272" width="2" style="64" customWidth="1"/>
    <col min="1273" max="1274" width="9.140625" style="64"/>
    <col min="1275" max="1275" width="7.28515625" style="64" customWidth="1"/>
    <col min="1276" max="1276" width="2.85546875" style="64" customWidth="1"/>
    <col min="1277" max="1277" width="9.140625" style="64"/>
    <col min="1278" max="1278" width="10.5703125" style="64" customWidth="1"/>
    <col min="1279" max="1279" width="7.85546875" style="64" customWidth="1"/>
    <col min="1280" max="1280" width="2.85546875" style="64" customWidth="1"/>
    <col min="1281" max="1281" width="21" style="64" customWidth="1"/>
    <col min="1282" max="1282" width="23.5703125" style="64" customWidth="1"/>
    <col min="1283" max="1283" width="12.140625" style="64" customWidth="1"/>
    <col min="1284" max="1284" width="3.28515625" style="64" customWidth="1"/>
    <col min="1285" max="1285" width="26.85546875" style="64" customWidth="1"/>
    <col min="1286" max="1286" width="0" style="64" hidden="1" customWidth="1"/>
    <col min="1287" max="1287" width="2.140625" style="64" customWidth="1"/>
    <col min="1288" max="1527" width="9.140625" style="64"/>
    <col min="1528" max="1528" width="2" style="64" customWidth="1"/>
    <col min="1529" max="1530" width="9.140625" style="64"/>
    <col min="1531" max="1531" width="7.28515625" style="64" customWidth="1"/>
    <col min="1532" max="1532" width="2.85546875" style="64" customWidth="1"/>
    <col min="1533" max="1533" width="9.140625" style="64"/>
    <col min="1534" max="1534" width="10.5703125" style="64" customWidth="1"/>
    <col min="1535" max="1535" width="7.85546875" style="64" customWidth="1"/>
    <col min="1536" max="1536" width="2.85546875" style="64" customWidth="1"/>
    <col min="1537" max="1537" width="21" style="64" customWidth="1"/>
    <col min="1538" max="1538" width="23.5703125" style="64" customWidth="1"/>
    <col min="1539" max="1539" width="12.140625" style="64" customWidth="1"/>
    <col min="1540" max="1540" width="3.28515625" style="64" customWidth="1"/>
    <col min="1541" max="1541" width="26.85546875" style="64" customWidth="1"/>
    <col min="1542" max="1542" width="0" style="64" hidden="1" customWidth="1"/>
    <col min="1543" max="1543" width="2.140625" style="64" customWidth="1"/>
    <col min="1544" max="1783" width="9.140625" style="64"/>
    <col min="1784" max="1784" width="2" style="64" customWidth="1"/>
    <col min="1785" max="1786" width="9.140625" style="64"/>
    <col min="1787" max="1787" width="7.28515625" style="64" customWidth="1"/>
    <col min="1788" max="1788" width="2.85546875" style="64" customWidth="1"/>
    <col min="1789" max="1789" width="9.140625" style="64"/>
    <col min="1790" max="1790" width="10.5703125" style="64" customWidth="1"/>
    <col min="1791" max="1791" width="7.85546875" style="64" customWidth="1"/>
    <col min="1792" max="1792" width="2.85546875" style="64" customWidth="1"/>
    <col min="1793" max="1793" width="21" style="64" customWidth="1"/>
    <col min="1794" max="1794" width="23.5703125" style="64" customWidth="1"/>
    <col min="1795" max="1795" width="12.140625" style="64" customWidth="1"/>
    <col min="1796" max="1796" width="3.28515625" style="64" customWidth="1"/>
    <col min="1797" max="1797" width="26.85546875" style="64" customWidth="1"/>
    <col min="1798" max="1798" width="0" style="64" hidden="1" customWidth="1"/>
    <col min="1799" max="1799" width="2.140625" style="64" customWidth="1"/>
    <col min="1800" max="2039" width="9.140625" style="64"/>
    <col min="2040" max="2040" width="2" style="64" customWidth="1"/>
    <col min="2041" max="2042" width="9.140625" style="64"/>
    <col min="2043" max="2043" width="7.28515625" style="64" customWidth="1"/>
    <col min="2044" max="2044" width="2.85546875" style="64" customWidth="1"/>
    <col min="2045" max="2045" width="9.140625" style="64"/>
    <col min="2046" max="2046" width="10.5703125" style="64" customWidth="1"/>
    <col min="2047" max="2047" width="7.85546875" style="64" customWidth="1"/>
    <col min="2048" max="2048" width="2.85546875" style="64" customWidth="1"/>
    <col min="2049" max="2049" width="21" style="64" customWidth="1"/>
    <col min="2050" max="2050" width="23.5703125" style="64" customWidth="1"/>
    <col min="2051" max="2051" width="12.140625" style="64" customWidth="1"/>
    <col min="2052" max="2052" width="3.28515625" style="64" customWidth="1"/>
    <col min="2053" max="2053" width="26.85546875" style="64" customWidth="1"/>
    <col min="2054" max="2054" width="0" style="64" hidden="1" customWidth="1"/>
    <col min="2055" max="2055" width="2.140625" style="64" customWidth="1"/>
    <col min="2056" max="2295" width="9.140625" style="64"/>
    <col min="2296" max="2296" width="2" style="64" customWidth="1"/>
    <col min="2297" max="2298" width="9.140625" style="64"/>
    <col min="2299" max="2299" width="7.28515625" style="64" customWidth="1"/>
    <col min="2300" max="2300" width="2.85546875" style="64" customWidth="1"/>
    <col min="2301" max="2301" width="9.140625" style="64"/>
    <col min="2302" max="2302" width="10.5703125" style="64" customWidth="1"/>
    <col min="2303" max="2303" width="7.85546875" style="64" customWidth="1"/>
    <col min="2304" max="2304" width="2.85546875" style="64" customWidth="1"/>
    <col min="2305" max="2305" width="21" style="64" customWidth="1"/>
    <col min="2306" max="2306" width="23.5703125" style="64" customWidth="1"/>
    <col min="2307" max="2307" width="12.140625" style="64" customWidth="1"/>
    <col min="2308" max="2308" width="3.28515625" style="64" customWidth="1"/>
    <col min="2309" max="2309" width="26.85546875" style="64" customWidth="1"/>
    <col min="2310" max="2310" width="0" style="64" hidden="1" customWidth="1"/>
    <col min="2311" max="2311" width="2.140625" style="64" customWidth="1"/>
    <col min="2312" max="2551" width="9.140625" style="64"/>
    <col min="2552" max="2552" width="2" style="64" customWidth="1"/>
    <col min="2553" max="2554" width="9.140625" style="64"/>
    <col min="2555" max="2555" width="7.28515625" style="64" customWidth="1"/>
    <col min="2556" max="2556" width="2.85546875" style="64" customWidth="1"/>
    <col min="2557" max="2557" width="9.140625" style="64"/>
    <col min="2558" max="2558" width="10.5703125" style="64" customWidth="1"/>
    <col min="2559" max="2559" width="7.85546875" style="64" customWidth="1"/>
    <col min="2560" max="2560" width="2.85546875" style="64" customWidth="1"/>
    <col min="2561" max="2561" width="21" style="64" customWidth="1"/>
    <col min="2562" max="2562" width="23.5703125" style="64" customWidth="1"/>
    <col min="2563" max="2563" width="12.140625" style="64" customWidth="1"/>
    <col min="2564" max="2564" width="3.28515625" style="64" customWidth="1"/>
    <col min="2565" max="2565" width="26.85546875" style="64" customWidth="1"/>
    <col min="2566" max="2566" width="0" style="64" hidden="1" customWidth="1"/>
    <col min="2567" max="2567" width="2.140625" style="64" customWidth="1"/>
    <col min="2568" max="2807" width="9.140625" style="64"/>
    <col min="2808" max="2808" width="2" style="64" customWidth="1"/>
    <col min="2809" max="2810" width="9.140625" style="64"/>
    <col min="2811" max="2811" width="7.28515625" style="64" customWidth="1"/>
    <col min="2812" max="2812" width="2.85546875" style="64" customWidth="1"/>
    <col min="2813" max="2813" width="9.140625" style="64"/>
    <col min="2814" max="2814" width="10.5703125" style="64" customWidth="1"/>
    <col min="2815" max="2815" width="7.85546875" style="64" customWidth="1"/>
    <col min="2816" max="2816" width="2.85546875" style="64" customWidth="1"/>
    <col min="2817" max="2817" width="21" style="64" customWidth="1"/>
    <col min="2818" max="2818" width="23.5703125" style="64" customWidth="1"/>
    <col min="2819" max="2819" width="12.140625" style="64" customWidth="1"/>
    <col min="2820" max="2820" width="3.28515625" style="64" customWidth="1"/>
    <col min="2821" max="2821" width="26.85546875" style="64" customWidth="1"/>
    <col min="2822" max="2822" width="0" style="64" hidden="1" customWidth="1"/>
    <col min="2823" max="2823" width="2.140625" style="64" customWidth="1"/>
    <col min="2824" max="3063" width="9.140625" style="64"/>
    <col min="3064" max="3064" width="2" style="64" customWidth="1"/>
    <col min="3065" max="3066" width="9.140625" style="64"/>
    <col min="3067" max="3067" width="7.28515625" style="64" customWidth="1"/>
    <col min="3068" max="3068" width="2.85546875" style="64" customWidth="1"/>
    <col min="3069" max="3069" width="9.140625" style="64"/>
    <col min="3070" max="3070" width="10.5703125" style="64" customWidth="1"/>
    <col min="3071" max="3071" width="7.85546875" style="64" customWidth="1"/>
    <col min="3072" max="3072" width="2.85546875" style="64" customWidth="1"/>
    <col min="3073" max="3073" width="21" style="64" customWidth="1"/>
    <col min="3074" max="3074" width="23.5703125" style="64" customWidth="1"/>
    <col min="3075" max="3075" width="12.140625" style="64" customWidth="1"/>
    <col min="3076" max="3076" width="3.28515625" style="64" customWidth="1"/>
    <col min="3077" max="3077" width="26.85546875" style="64" customWidth="1"/>
    <col min="3078" max="3078" width="0" style="64" hidden="1" customWidth="1"/>
    <col min="3079" max="3079" width="2.140625" style="64" customWidth="1"/>
    <col min="3080" max="3319" width="9.140625" style="64"/>
    <col min="3320" max="3320" width="2" style="64" customWidth="1"/>
    <col min="3321" max="3322" width="9.140625" style="64"/>
    <col min="3323" max="3323" width="7.28515625" style="64" customWidth="1"/>
    <col min="3324" max="3324" width="2.85546875" style="64" customWidth="1"/>
    <col min="3325" max="3325" width="9.140625" style="64"/>
    <col min="3326" max="3326" width="10.5703125" style="64" customWidth="1"/>
    <col min="3327" max="3327" width="7.85546875" style="64" customWidth="1"/>
    <col min="3328" max="3328" width="2.85546875" style="64" customWidth="1"/>
    <col min="3329" max="3329" width="21" style="64" customWidth="1"/>
    <col min="3330" max="3330" width="23.5703125" style="64" customWidth="1"/>
    <col min="3331" max="3331" width="12.140625" style="64" customWidth="1"/>
    <col min="3332" max="3332" width="3.28515625" style="64" customWidth="1"/>
    <col min="3333" max="3333" width="26.85546875" style="64" customWidth="1"/>
    <col min="3334" max="3334" width="0" style="64" hidden="1" customWidth="1"/>
    <col min="3335" max="3335" width="2.140625" style="64" customWidth="1"/>
    <col min="3336" max="3575" width="9.140625" style="64"/>
    <col min="3576" max="3576" width="2" style="64" customWidth="1"/>
    <col min="3577" max="3578" width="9.140625" style="64"/>
    <col min="3579" max="3579" width="7.28515625" style="64" customWidth="1"/>
    <col min="3580" max="3580" width="2.85546875" style="64" customWidth="1"/>
    <col min="3581" max="3581" width="9.140625" style="64"/>
    <col min="3582" max="3582" width="10.5703125" style="64" customWidth="1"/>
    <col min="3583" max="3583" width="7.85546875" style="64" customWidth="1"/>
    <col min="3584" max="3584" width="2.85546875" style="64" customWidth="1"/>
    <col min="3585" max="3585" width="21" style="64" customWidth="1"/>
    <col min="3586" max="3586" width="23.5703125" style="64" customWidth="1"/>
    <col min="3587" max="3587" width="12.140625" style="64" customWidth="1"/>
    <col min="3588" max="3588" width="3.28515625" style="64" customWidth="1"/>
    <col min="3589" max="3589" width="26.85546875" style="64" customWidth="1"/>
    <col min="3590" max="3590" width="0" style="64" hidden="1" customWidth="1"/>
    <col min="3591" max="3591" width="2.140625" style="64" customWidth="1"/>
    <col min="3592" max="3831" width="9.140625" style="64"/>
    <col min="3832" max="3832" width="2" style="64" customWidth="1"/>
    <col min="3833" max="3834" width="9.140625" style="64"/>
    <col min="3835" max="3835" width="7.28515625" style="64" customWidth="1"/>
    <col min="3836" max="3836" width="2.85546875" style="64" customWidth="1"/>
    <col min="3837" max="3837" width="9.140625" style="64"/>
    <col min="3838" max="3838" width="10.5703125" style="64" customWidth="1"/>
    <col min="3839" max="3839" width="7.85546875" style="64" customWidth="1"/>
    <col min="3840" max="3840" width="2.85546875" style="64" customWidth="1"/>
    <col min="3841" max="3841" width="21" style="64" customWidth="1"/>
    <col min="3842" max="3842" width="23.5703125" style="64" customWidth="1"/>
    <col min="3843" max="3843" width="12.140625" style="64" customWidth="1"/>
    <col min="3844" max="3844" width="3.28515625" style="64" customWidth="1"/>
    <col min="3845" max="3845" width="26.85546875" style="64" customWidth="1"/>
    <col min="3846" max="3846" width="0" style="64" hidden="1" customWidth="1"/>
    <col min="3847" max="3847" width="2.140625" style="64" customWidth="1"/>
    <col min="3848" max="4087" width="9.140625" style="64"/>
    <col min="4088" max="4088" width="2" style="64" customWidth="1"/>
    <col min="4089" max="4090" width="9.140625" style="64"/>
    <col min="4091" max="4091" width="7.28515625" style="64" customWidth="1"/>
    <col min="4092" max="4092" width="2.85546875" style="64" customWidth="1"/>
    <col min="4093" max="4093" width="9.140625" style="64"/>
    <col min="4094" max="4094" width="10.5703125" style="64" customWidth="1"/>
    <col min="4095" max="4095" width="7.85546875" style="64" customWidth="1"/>
    <col min="4096" max="4096" width="2.85546875" style="64" customWidth="1"/>
    <col min="4097" max="4097" width="21" style="64" customWidth="1"/>
    <col min="4098" max="4098" width="23.5703125" style="64" customWidth="1"/>
    <col min="4099" max="4099" width="12.140625" style="64" customWidth="1"/>
    <col min="4100" max="4100" width="3.28515625" style="64" customWidth="1"/>
    <col min="4101" max="4101" width="26.85546875" style="64" customWidth="1"/>
    <col min="4102" max="4102" width="0" style="64" hidden="1" customWidth="1"/>
    <col min="4103" max="4103" width="2.140625" style="64" customWidth="1"/>
    <col min="4104" max="4343" width="9.140625" style="64"/>
    <col min="4344" max="4344" width="2" style="64" customWidth="1"/>
    <col min="4345" max="4346" width="9.140625" style="64"/>
    <col min="4347" max="4347" width="7.28515625" style="64" customWidth="1"/>
    <col min="4348" max="4348" width="2.85546875" style="64" customWidth="1"/>
    <col min="4349" max="4349" width="9.140625" style="64"/>
    <col min="4350" max="4350" width="10.5703125" style="64" customWidth="1"/>
    <col min="4351" max="4351" width="7.85546875" style="64" customWidth="1"/>
    <col min="4352" max="4352" width="2.85546875" style="64" customWidth="1"/>
    <col min="4353" max="4353" width="21" style="64" customWidth="1"/>
    <col min="4354" max="4354" width="23.5703125" style="64" customWidth="1"/>
    <col min="4355" max="4355" width="12.140625" style="64" customWidth="1"/>
    <col min="4356" max="4356" width="3.28515625" style="64" customWidth="1"/>
    <col min="4357" max="4357" width="26.85546875" style="64" customWidth="1"/>
    <col min="4358" max="4358" width="0" style="64" hidden="1" customWidth="1"/>
    <col min="4359" max="4359" width="2.140625" style="64" customWidth="1"/>
    <col min="4360" max="4599" width="9.140625" style="64"/>
    <col min="4600" max="4600" width="2" style="64" customWidth="1"/>
    <col min="4601" max="4602" width="9.140625" style="64"/>
    <col min="4603" max="4603" width="7.28515625" style="64" customWidth="1"/>
    <col min="4604" max="4604" width="2.85546875" style="64" customWidth="1"/>
    <col min="4605" max="4605" width="9.140625" style="64"/>
    <col min="4606" max="4606" width="10.5703125" style="64" customWidth="1"/>
    <col min="4607" max="4607" width="7.85546875" style="64" customWidth="1"/>
    <col min="4608" max="4608" width="2.85546875" style="64" customWidth="1"/>
    <col min="4609" max="4609" width="21" style="64" customWidth="1"/>
    <col min="4610" max="4610" width="23.5703125" style="64" customWidth="1"/>
    <col min="4611" max="4611" width="12.140625" style="64" customWidth="1"/>
    <col min="4612" max="4612" width="3.28515625" style="64" customWidth="1"/>
    <col min="4613" max="4613" width="26.85546875" style="64" customWidth="1"/>
    <col min="4614" max="4614" width="0" style="64" hidden="1" customWidth="1"/>
    <col min="4615" max="4615" width="2.140625" style="64" customWidth="1"/>
    <col min="4616" max="4855" width="9.140625" style="64"/>
    <col min="4856" max="4856" width="2" style="64" customWidth="1"/>
    <col min="4857" max="4858" width="9.140625" style="64"/>
    <col min="4859" max="4859" width="7.28515625" style="64" customWidth="1"/>
    <col min="4860" max="4860" width="2.85546875" style="64" customWidth="1"/>
    <col min="4861" max="4861" width="9.140625" style="64"/>
    <col min="4862" max="4862" width="10.5703125" style="64" customWidth="1"/>
    <col min="4863" max="4863" width="7.85546875" style="64" customWidth="1"/>
    <col min="4864" max="4864" width="2.85546875" style="64" customWidth="1"/>
    <col min="4865" max="4865" width="21" style="64" customWidth="1"/>
    <col min="4866" max="4866" width="23.5703125" style="64" customWidth="1"/>
    <col min="4867" max="4867" width="12.140625" style="64" customWidth="1"/>
    <col min="4868" max="4868" width="3.28515625" style="64" customWidth="1"/>
    <col min="4869" max="4869" width="26.85546875" style="64" customWidth="1"/>
    <col min="4870" max="4870" width="0" style="64" hidden="1" customWidth="1"/>
    <col min="4871" max="4871" width="2.140625" style="64" customWidth="1"/>
    <col min="4872" max="5111" width="9.140625" style="64"/>
    <col min="5112" max="5112" width="2" style="64" customWidth="1"/>
    <col min="5113" max="5114" width="9.140625" style="64"/>
    <col min="5115" max="5115" width="7.28515625" style="64" customWidth="1"/>
    <col min="5116" max="5116" width="2.85546875" style="64" customWidth="1"/>
    <col min="5117" max="5117" width="9.140625" style="64"/>
    <col min="5118" max="5118" width="10.5703125" style="64" customWidth="1"/>
    <col min="5119" max="5119" width="7.85546875" style="64" customWidth="1"/>
    <col min="5120" max="5120" width="2.85546875" style="64" customWidth="1"/>
    <col min="5121" max="5121" width="21" style="64" customWidth="1"/>
    <col min="5122" max="5122" width="23.5703125" style="64" customWidth="1"/>
    <col min="5123" max="5123" width="12.140625" style="64" customWidth="1"/>
    <col min="5124" max="5124" width="3.28515625" style="64" customWidth="1"/>
    <col min="5125" max="5125" width="26.85546875" style="64" customWidth="1"/>
    <col min="5126" max="5126" width="0" style="64" hidden="1" customWidth="1"/>
    <col min="5127" max="5127" width="2.140625" style="64" customWidth="1"/>
    <col min="5128" max="5367" width="9.140625" style="64"/>
    <col min="5368" max="5368" width="2" style="64" customWidth="1"/>
    <col min="5369" max="5370" width="9.140625" style="64"/>
    <col min="5371" max="5371" width="7.28515625" style="64" customWidth="1"/>
    <col min="5372" max="5372" width="2.85546875" style="64" customWidth="1"/>
    <col min="5373" max="5373" width="9.140625" style="64"/>
    <col min="5374" max="5374" width="10.5703125" style="64" customWidth="1"/>
    <col min="5375" max="5375" width="7.85546875" style="64" customWidth="1"/>
    <col min="5376" max="5376" width="2.85546875" style="64" customWidth="1"/>
    <col min="5377" max="5377" width="21" style="64" customWidth="1"/>
    <col min="5378" max="5378" width="23.5703125" style="64" customWidth="1"/>
    <col min="5379" max="5379" width="12.140625" style="64" customWidth="1"/>
    <col min="5380" max="5380" width="3.28515625" style="64" customWidth="1"/>
    <col min="5381" max="5381" width="26.85546875" style="64" customWidth="1"/>
    <col min="5382" max="5382" width="0" style="64" hidden="1" customWidth="1"/>
    <col min="5383" max="5383" width="2.140625" style="64" customWidth="1"/>
    <col min="5384" max="5623" width="9.140625" style="64"/>
    <col min="5624" max="5624" width="2" style="64" customWidth="1"/>
    <col min="5625" max="5626" width="9.140625" style="64"/>
    <col min="5627" max="5627" width="7.28515625" style="64" customWidth="1"/>
    <col min="5628" max="5628" width="2.85546875" style="64" customWidth="1"/>
    <col min="5629" max="5629" width="9.140625" style="64"/>
    <col min="5630" max="5630" width="10.5703125" style="64" customWidth="1"/>
    <col min="5631" max="5631" width="7.85546875" style="64" customWidth="1"/>
    <col min="5632" max="5632" width="2.85546875" style="64" customWidth="1"/>
    <col min="5633" max="5633" width="21" style="64" customWidth="1"/>
    <col min="5634" max="5634" width="23.5703125" style="64" customWidth="1"/>
    <col min="5635" max="5635" width="12.140625" style="64" customWidth="1"/>
    <col min="5636" max="5636" width="3.28515625" style="64" customWidth="1"/>
    <col min="5637" max="5637" width="26.85546875" style="64" customWidth="1"/>
    <col min="5638" max="5638" width="0" style="64" hidden="1" customWidth="1"/>
    <col min="5639" max="5639" width="2.140625" style="64" customWidth="1"/>
    <col min="5640" max="5879" width="9.140625" style="64"/>
    <col min="5880" max="5880" width="2" style="64" customWidth="1"/>
    <col min="5881" max="5882" width="9.140625" style="64"/>
    <col min="5883" max="5883" width="7.28515625" style="64" customWidth="1"/>
    <col min="5884" max="5884" width="2.85546875" style="64" customWidth="1"/>
    <col min="5885" max="5885" width="9.140625" style="64"/>
    <col min="5886" max="5886" width="10.5703125" style="64" customWidth="1"/>
    <col min="5887" max="5887" width="7.85546875" style="64" customWidth="1"/>
    <col min="5888" max="5888" width="2.85546875" style="64" customWidth="1"/>
    <col min="5889" max="5889" width="21" style="64" customWidth="1"/>
    <col min="5890" max="5890" width="23.5703125" style="64" customWidth="1"/>
    <col min="5891" max="5891" width="12.140625" style="64" customWidth="1"/>
    <col min="5892" max="5892" width="3.28515625" style="64" customWidth="1"/>
    <col min="5893" max="5893" width="26.85546875" style="64" customWidth="1"/>
    <col min="5894" max="5894" width="0" style="64" hidden="1" customWidth="1"/>
    <col min="5895" max="5895" width="2.140625" style="64" customWidth="1"/>
    <col min="5896" max="6135" width="9.140625" style="64"/>
    <col min="6136" max="6136" width="2" style="64" customWidth="1"/>
    <col min="6137" max="6138" width="9.140625" style="64"/>
    <col min="6139" max="6139" width="7.28515625" style="64" customWidth="1"/>
    <col min="6140" max="6140" width="2.85546875" style="64" customWidth="1"/>
    <col min="6141" max="6141" width="9.140625" style="64"/>
    <col min="6142" max="6142" width="10.5703125" style="64" customWidth="1"/>
    <col min="6143" max="6143" width="7.85546875" style="64" customWidth="1"/>
    <col min="6144" max="6144" width="2.85546875" style="64" customWidth="1"/>
    <col min="6145" max="6145" width="21" style="64" customWidth="1"/>
    <col min="6146" max="6146" width="23.5703125" style="64" customWidth="1"/>
    <col min="6147" max="6147" width="12.140625" style="64" customWidth="1"/>
    <col min="6148" max="6148" width="3.28515625" style="64" customWidth="1"/>
    <col min="6149" max="6149" width="26.85546875" style="64" customWidth="1"/>
    <col min="6150" max="6150" width="0" style="64" hidden="1" customWidth="1"/>
    <col min="6151" max="6151" width="2.140625" style="64" customWidth="1"/>
    <col min="6152" max="6391" width="9.140625" style="64"/>
    <col min="6392" max="6392" width="2" style="64" customWidth="1"/>
    <col min="6393" max="6394" width="9.140625" style="64"/>
    <col min="6395" max="6395" width="7.28515625" style="64" customWidth="1"/>
    <col min="6396" max="6396" width="2.85546875" style="64" customWidth="1"/>
    <col min="6397" max="6397" width="9.140625" style="64"/>
    <col min="6398" max="6398" width="10.5703125" style="64" customWidth="1"/>
    <col min="6399" max="6399" width="7.85546875" style="64" customWidth="1"/>
    <col min="6400" max="6400" width="2.85546875" style="64" customWidth="1"/>
    <col min="6401" max="6401" width="21" style="64" customWidth="1"/>
    <col min="6402" max="6402" width="23.5703125" style="64" customWidth="1"/>
    <col min="6403" max="6403" width="12.140625" style="64" customWidth="1"/>
    <col min="6404" max="6404" width="3.28515625" style="64" customWidth="1"/>
    <col min="6405" max="6405" width="26.85546875" style="64" customWidth="1"/>
    <col min="6406" max="6406" width="0" style="64" hidden="1" customWidth="1"/>
    <col min="6407" max="6407" width="2.140625" style="64" customWidth="1"/>
    <col min="6408" max="6647" width="9.140625" style="64"/>
    <col min="6648" max="6648" width="2" style="64" customWidth="1"/>
    <col min="6649" max="6650" width="9.140625" style="64"/>
    <col min="6651" max="6651" width="7.28515625" style="64" customWidth="1"/>
    <col min="6652" max="6652" width="2.85546875" style="64" customWidth="1"/>
    <col min="6653" max="6653" width="9.140625" style="64"/>
    <col min="6654" max="6654" width="10.5703125" style="64" customWidth="1"/>
    <col min="6655" max="6655" width="7.85546875" style="64" customWidth="1"/>
    <col min="6656" max="6656" width="2.85546875" style="64" customWidth="1"/>
    <col min="6657" max="6657" width="21" style="64" customWidth="1"/>
    <col min="6658" max="6658" width="23.5703125" style="64" customWidth="1"/>
    <col min="6659" max="6659" width="12.140625" style="64" customWidth="1"/>
    <col min="6660" max="6660" width="3.28515625" style="64" customWidth="1"/>
    <col min="6661" max="6661" width="26.85546875" style="64" customWidth="1"/>
    <col min="6662" max="6662" width="0" style="64" hidden="1" customWidth="1"/>
    <col min="6663" max="6663" width="2.140625" style="64" customWidth="1"/>
    <col min="6664" max="6903" width="9.140625" style="64"/>
    <col min="6904" max="6904" width="2" style="64" customWidth="1"/>
    <col min="6905" max="6906" width="9.140625" style="64"/>
    <col min="6907" max="6907" width="7.28515625" style="64" customWidth="1"/>
    <col min="6908" max="6908" width="2.85546875" style="64" customWidth="1"/>
    <col min="6909" max="6909" width="9.140625" style="64"/>
    <col min="6910" max="6910" width="10.5703125" style="64" customWidth="1"/>
    <col min="6911" max="6911" width="7.85546875" style="64" customWidth="1"/>
    <col min="6912" max="6912" width="2.85546875" style="64" customWidth="1"/>
    <col min="6913" max="6913" width="21" style="64" customWidth="1"/>
    <col min="6914" max="6914" width="23.5703125" style="64" customWidth="1"/>
    <col min="6915" max="6915" width="12.140625" style="64" customWidth="1"/>
    <col min="6916" max="6916" width="3.28515625" style="64" customWidth="1"/>
    <col min="6917" max="6917" width="26.85546875" style="64" customWidth="1"/>
    <col min="6918" max="6918" width="0" style="64" hidden="1" customWidth="1"/>
    <col min="6919" max="6919" width="2.140625" style="64" customWidth="1"/>
    <col min="6920" max="7159" width="9.140625" style="64"/>
    <col min="7160" max="7160" width="2" style="64" customWidth="1"/>
    <col min="7161" max="7162" width="9.140625" style="64"/>
    <col min="7163" max="7163" width="7.28515625" style="64" customWidth="1"/>
    <col min="7164" max="7164" width="2.85546875" style="64" customWidth="1"/>
    <col min="7165" max="7165" width="9.140625" style="64"/>
    <col min="7166" max="7166" width="10.5703125" style="64" customWidth="1"/>
    <col min="7167" max="7167" width="7.85546875" style="64" customWidth="1"/>
    <col min="7168" max="7168" width="2.85546875" style="64" customWidth="1"/>
    <col min="7169" max="7169" width="21" style="64" customWidth="1"/>
    <col min="7170" max="7170" width="23.5703125" style="64" customWidth="1"/>
    <col min="7171" max="7171" width="12.140625" style="64" customWidth="1"/>
    <col min="7172" max="7172" width="3.28515625" style="64" customWidth="1"/>
    <col min="7173" max="7173" width="26.85546875" style="64" customWidth="1"/>
    <col min="7174" max="7174" width="0" style="64" hidden="1" customWidth="1"/>
    <col min="7175" max="7175" width="2.140625" style="64" customWidth="1"/>
    <col min="7176" max="7415" width="9.140625" style="64"/>
    <col min="7416" max="7416" width="2" style="64" customWidth="1"/>
    <col min="7417" max="7418" width="9.140625" style="64"/>
    <col min="7419" max="7419" width="7.28515625" style="64" customWidth="1"/>
    <col min="7420" max="7420" width="2.85546875" style="64" customWidth="1"/>
    <col min="7421" max="7421" width="9.140625" style="64"/>
    <col min="7422" max="7422" width="10.5703125" style="64" customWidth="1"/>
    <col min="7423" max="7423" width="7.85546875" style="64" customWidth="1"/>
    <col min="7424" max="7424" width="2.85546875" style="64" customWidth="1"/>
    <col min="7425" max="7425" width="21" style="64" customWidth="1"/>
    <col min="7426" max="7426" width="23.5703125" style="64" customWidth="1"/>
    <col min="7427" max="7427" width="12.140625" style="64" customWidth="1"/>
    <col min="7428" max="7428" width="3.28515625" style="64" customWidth="1"/>
    <col min="7429" max="7429" width="26.85546875" style="64" customWidth="1"/>
    <col min="7430" max="7430" width="0" style="64" hidden="1" customWidth="1"/>
    <col min="7431" max="7431" width="2.140625" style="64" customWidth="1"/>
    <col min="7432" max="7671" width="9.140625" style="64"/>
    <col min="7672" max="7672" width="2" style="64" customWidth="1"/>
    <col min="7673" max="7674" width="9.140625" style="64"/>
    <col min="7675" max="7675" width="7.28515625" style="64" customWidth="1"/>
    <col min="7676" max="7676" width="2.85546875" style="64" customWidth="1"/>
    <col min="7677" max="7677" width="9.140625" style="64"/>
    <col min="7678" max="7678" width="10.5703125" style="64" customWidth="1"/>
    <col min="7679" max="7679" width="7.85546875" style="64" customWidth="1"/>
    <col min="7680" max="7680" width="2.85546875" style="64" customWidth="1"/>
    <col min="7681" max="7681" width="21" style="64" customWidth="1"/>
    <col min="7682" max="7682" width="23.5703125" style="64" customWidth="1"/>
    <col min="7683" max="7683" width="12.140625" style="64" customWidth="1"/>
    <col min="7684" max="7684" width="3.28515625" style="64" customWidth="1"/>
    <col min="7685" max="7685" width="26.85546875" style="64" customWidth="1"/>
    <col min="7686" max="7686" width="0" style="64" hidden="1" customWidth="1"/>
    <col min="7687" max="7687" width="2.140625" style="64" customWidth="1"/>
    <col min="7688" max="7927" width="9.140625" style="64"/>
    <col min="7928" max="7928" width="2" style="64" customWidth="1"/>
    <col min="7929" max="7930" width="9.140625" style="64"/>
    <col min="7931" max="7931" width="7.28515625" style="64" customWidth="1"/>
    <col min="7932" max="7932" width="2.85546875" style="64" customWidth="1"/>
    <col min="7933" max="7933" width="9.140625" style="64"/>
    <col min="7934" max="7934" width="10.5703125" style="64" customWidth="1"/>
    <col min="7935" max="7935" width="7.85546875" style="64" customWidth="1"/>
    <col min="7936" max="7936" width="2.85546875" style="64" customWidth="1"/>
    <col min="7937" max="7937" width="21" style="64" customWidth="1"/>
    <col min="7938" max="7938" width="23.5703125" style="64" customWidth="1"/>
    <col min="7939" max="7939" width="12.140625" style="64" customWidth="1"/>
    <col min="7940" max="7940" width="3.28515625" style="64" customWidth="1"/>
    <col min="7941" max="7941" width="26.85546875" style="64" customWidth="1"/>
    <col min="7942" max="7942" width="0" style="64" hidden="1" customWidth="1"/>
    <col min="7943" max="7943" width="2.140625" style="64" customWidth="1"/>
    <col min="7944" max="8183" width="9.140625" style="64"/>
    <col min="8184" max="8184" width="2" style="64" customWidth="1"/>
    <col min="8185" max="8186" width="9.140625" style="64"/>
    <col min="8187" max="8187" width="7.28515625" style="64" customWidth="1"/>
    <col min="8188" max="8188" width="2.85546875" style="64" customWidth="1"/>
    <col min="8189" max="8189" width="9.140625" style="64"/>
    <col min="8190" max="8190" width="10.5703125" style="64" customWidth="1"/>
    <col min="8191" max="8191" width="7.85546875" style="64" customWidth="1"/>
    <col min="8192" max="8192" width="2.85546875" style="64" customWidth="1"/>
    <col min="8193" max="8193" width="21" style="64" customWidth="1"/>
    <col min="8194" max="8194" width="23.5703125" style="64" customWidth="1"/>
    <col min="8195" max="8195" width="12.140625" style="64" customWidth="1"/>
    <col min="8196" max="8196" width="3.28515625" style="64" customWidth="1"/>
    <col min="8197" max="8197" width="26.85546875" style="64" customWidth="1"/>
    <col min="8198" max="8198" width="0" style="64" hidden="1" customWidth="1"/>
    <col min="8199" max="8199" width="2.140625" style="64" customWidth="1"/>
    <col min="8200" max="8439" width="9.140625" style="64"/>
    <col min="8440" max="8440" width="2" style="64" customWidth="1"/>
    <col min="8441" max="8442" width="9.140625" style="64"/>
    <col min="8443" max="8443" width="7.28515625" style="64" customWidth="1"/>
    <col min="8444" max="8444" width="2.85546875" style="64" customWidth="1"/>
    <col min="8445" max="8445" width="9.140625" style="64"/>
    <col min="8446" max="8446" width="10.5703125" style="64" customWidth="1"/>
    <col min="8447" max="8447" width="7.85546875" style="64" customWidth="1"/>
    <col min="8448" max="8448" width="2.85546875" style="64" customWidth="1"/>
    <col min="8449" max="8449" width="21" style="64" customWidth="1"/>
    <col min="8450" max="8450" width="23.5703125" style="64" customWidth="1"/>
    <col min="8451" max="8451" width="12.140625" style="64" customWidth="1"/>
    <col min="8452" max="8452" width="3.28515625" style="64" customWidth="1"/>
    <col min="8453" max="8453" width="26.85546875" style="64" customWidth="1"/>
    <col min="8454" max="8454" width="0" style="64" hidden="1" customWidth="1"/>
    <col min="8455" max="8455" width="2.140625" style="64" customWidth="1"/>
    <col min="8456" max="8695" width="9.140625" style="64"/>
    <col min="8696" max="8696" width="2" style="64" customWidth="1"/>
    <col min="8697" max="8698" width="9.140625" style="64"/>
    <col min="8699" max="8699" width="7.28515625" style="64" customWidth="1"/>
    <col min="8700" max="8700" width="2.85546875" style="64" customWidth="1"/>
    <col min="8701" max="8701" width="9.140625" style="64"/>
    <col min="8702" max="8702" width="10.5703125" style="64" customWidth="1"/>
    <col min="8703" max="8703" width="7.85546875" style="64" customWidth="1"/>
    <col min="8704" max="8704" width="2.85546875" style="64" customWidth="1"/>
    <col min="8705" max="8705" width="21" style="64" customWidth="1"/>
    <col min="8706" max="8706" width="23.5703125" style="64" customWidth="1"/>
    <col min="8707" max="8707" width="12.140625" style="64" customWidth="1"/>
    <col min="8708" max="8708" width="3.28515625" style="64" customWidth="1"/>
    <col min="8709" max="8709" width="26.85546875" style="64" customWidth="1"/>
    <col min="8710" max="8710" width="0" style="64" hidden="1" customWidth="1"/>
    <col min="8711" max="8711" width="2.140625" style="64" customWidth="1"/>
    <col min="8712" max="8951" width="9.140625" style="64"/>
    <col min="8952" max="8952" width="2" style="64" customWidth="1"/>
    <col min="8953" max="8954" width="9.140625" style="64"/>
    <col min="8955" max="8955" width="7.28515625" style="64" customWidth="1"/>
    <col min="8956" max="8956" width="2.85546875" style="64" customWidth="1"/>
    <col min="8957" max="8957" width="9.140625" style="64"/>
    <col min="8958" max="8958" width="10.5703125" style="64" customWidth="1"/>
    <col min="8959" max="8959" width="7.85546875" style="64" customWidth="1"/>
    <col min="8960" max="8960" width="2.85546875" style="64" customWidth="1"/>
    <col min="8961" max="8961" width="21" style="64" customWidth="1"/>
    <col min="8962" max="8962" width="23.5703125" style="64" customWidth="1"/>
    <col min="8963" max="8963" width="12.140625" style="64" customWidth="1"/>
    <col min="8964" max="8964" width="3.28515625" style="64" customWidth="1"/>
    <col min="8965" max="8965" width="26.85546875" style="64" customWidth="1"/>
    <col min="8966" max="8966" width="0" style="64" hidden="1" customWidth="1"/>
    <col min="8967" max="8967" width="2.140625" style="64" customWidth="1"/>
    <col min="8968" max="9207" width="9.140625" style="64"/>
    <col min="9208" max="9208" width="2" style="64" customWidth="1"/>
    <col min="9209" max="9210" width="9.140625" style="64"/>
    <col min="9211" max="9211" width="7.28515625" style="64" customWidth="1"/>
    <col min="9212" max="9212" width="2.85546875" style="64" customWidth="1"/>
    <col min="9213" max="9213" width="9.140625" style="64"/>
    <col min="9214" max="9214" width="10.5703125" style="64" customWidth="1"/>
    <col min="9215" max="9215" width="7.85546875" style="64" customWidth="1"/>
    <col min="9216" max="9216" width="2.85546875" style="64" customWidth="1"/>
    <col min="9217" max="9217" width="21" style="64" customWidth="1"/>
    <col min="9218" max="9218" width="23.5703125" style="64" customWidth="1"/>
    <col min="9219" max="9219" width="12.140625" style="64" customWidth="1"/>
    <col min="9220" max="9220" width="3.28515625" style="64" customWidth="1"/>
    <col min="9221" max="9221" width="26.85546875" style="64" customWidth="1"/>
    <col min="9222" max="9222" width="0" style="64" hidden="1" customWidth="1"/>
    <col min="9223" max="9223" width="2.140625" style="64" customWidth="1"/>
    <col min="9224" max="9463" width="9.140625" style="64"/>
    <col min="9464" max="9464" width="2" style="64" customWidth="1"/>
    <col min="9465" max="9466" width="9.140625" style="64"/>
    <col min="9467" max="9467" width="7.28515625" style="64" customWidth="1"/>
    <col min="9468" max="9468" width="2.85546875" style="64" customWidth="1"/>
    <col min="9469" max="9469" width="9.140625" style="64"/>
    <col min="9470" max="9470" width="10.5703125" style="64" customWidth="1"/>
    <col min="9471" max="9471" width="7.85546875" style="64" customWidth="1"/>
    <col min="9472" max="9472" width="2.85546875" style="64" customWidth="1"/>
    <col min="9473" max="9473" width="21" style="64" customWidth="1"/>
    <col min="9474" max="9474" width="23.5703125" style="64" customWidth="1"/>
    <col min="9475" max="9475" width="12.140625" style="64" customWidth="1"/>
    <col min="9476" max="9476" width="3.28515625" style="64" customWidth="1"/>
    <col min="9477" max="9477" width="26.85546875" style="64" customWidth="1"/>
    <col min="9478" max="9478" width="0" style="64" hidden="1" customWidth="1"/>
    <col min="9479" max="9479" width="2.140625" style="64" customWidth="1"/>
    <col min="9480" max="9719" width="9.140625" style="64"/>
    <col min="9720" max="9720" width="2" style="64" customWidth="1"/>
    <col min="9721" max="9722" width="9.140625" style="64"/>
    <col min="9723" max="9723" width="7.28515625" style="64" customWidth="1"/>
    <col min="9724" max="9724" width="2.85546875" style="64" customWidth="1"/>
    <col min="9725" max="9725" width="9.140625" style="64"/>
    <col min="9726" max="9726" width="10.5703125" style="64" customWidth="1"/>
    <col min="9727" max="9727" width="7.85546875" style="64" customWidth="1"/>
    <col min="9728" max="9728" width="2.85546875" style="64" customWidth="1"/>
    <col min="9729" max="9729" width="21" style="64" customWidth="1"/>
    <col min="9730" max="9730" width="23.5703125" style="64" customWidth="1"/>
    <col min="9731" max="9731" width="12.140625" style="64" customWidth="1"/>
    <col min="9732" max="9732" width="3.28515625" style="64" customWidth="1"/>
    <col min="9733" max="9733" width="26.85546875" style="64" customWidth="1"/>
    <col min="9734" max="9734" width="0" style="64" hidden="1" customWidth="1"/>
    <col min="9735" max="9735" width="2.140625" style="64" customWidth="1"/>
    <col min="9736" max="9975" width="9.140625" style="64"/>
    <col min="9976" max="9976" width="2" style="64" customWidth="1"/>
    <col min="9977" max="9978" width="9.140625" style="64"/>
    <col min="9979" max="9979" width="7.28515625" style="64" customWidth="1"/>
    <col min="9980" max="9980" width="2.85546875" style="64" customWidth="1"/>
    <col min="9981" max="9981" width="9.140625" style="64"/>
    <col min="9982" max="9982" width="10.5703125" style="64" customWidth="1"/>
    <col min="9983" max="9983" width="7.85546875" style="64" customWidth="1"/>
    <col min="9984" max="9984" width="2.85546875" style="64" customWidth="1"/>
    <col min="9985" max="9985" width="21" style="64" customWidth="1"/>
    <col min="9986" max="9986" width="23.5703125" style="64" customWidth="1"/>
    <col min="9987" max="9987" width="12.140625" style="64" customWidth="1"/>
    <col min="9988" max="9988" width="3.28515625" style="64" customWidth="1"/>
    <col min="9989" max="9989" width="26.85546875" style="64" customWidth="1"/>
    <col min="9990" max="9990" width="0" style="64" hidden="1" customWidth="1"/>
    <col min="9991" max="9991" width="2.140625" style="64" customWidth="1"/>
    <col min="9992" max="10231" width="9.140625" style="64"/>
    <col min="10232" max="10232" width="2" style="64" customWidth="1"/>
    <col min="10233" max="10234" width="9.140625" style="64"/>
    <col min="10235" max="10235" width="7.28515625" style="64" customWidth="1"/>
    <col min="10236" max="10236" width="2.85546875" style="64" customWidth="1"/>
    <col min="10237" max="10237" width="9.140625" style="64"/>
    <col min="10238" max="10238" width="10.5703125" style="64" customWidth="1"/>
    <col min="10239" max="10239" width="7.85546875" style="64" customWidth="1"/>
    <col min="10240" max="10240" width="2.85546875" style="64" customWidth="1"/>
    <col min="10241" max="10241" width="21" style="64" customWidth="1"/>
    <col min="10242" max="10242" width="23.5703125" style="64" customWidth="1"/>
    <col min="10243" max="10243" width="12.140625" style="64" customWidth="1"/>
    <col min="10244" max="10244" width="3.28515625" style="64" customWidth="1"/>
    <col min="10245" max="10245" width="26.85546875" style="64" customWidth="1"/>
    <col min="10246" max="10246" width="0" style="64" hidden="1" customWidth="1"/>
    <col min="10247" max="10247" width="2.140625" style="64" customWidth="1"/>
    <col min="10248" max="10487" width="9.140625" style="64"/>
    <col min="10488" max="10488" width="2" style="64" customWidth="1"/>
    <col min="10489" max="10490" width="9.140625" style="64"/>
    <col min="10491" max="10491" width="7.28515625" style="64" customWidth="1"/>
    <col min="10492" max="10492" width="2.85546875" style="64" customWidth="1"/>
    <col min="10493" max="10493" width="9.140625" style="64"/>
    <col min="10494" max="10494" width="10.5703125" style="64" customWidth="1"/>
    <col min="10495" max="10495" width="7.85546875" style="64" customWidth="1"/>
    <col min="10496" max="10496" width="2.85546875" style="64" customWidth="1"/>
    <col min="10497" max="10497" width="21" style="64" customWidth="1"/>
    <col min="10498" max="10498" width="23.5703125" style="64" customWidth="1"/>
    <col min="10499" max="10499" width="12.140625" style="64" customWidth="1"/>
    <col min="10500" max="10500" width="3.28515625" style="64" customWidth="1"/>
    <col min="10501" max="10501" width="26.85546875" style="64" customWidth="1"/>
    <col min="10502" max="10502" width="0" style="64" hidden="1" customWidth="1"/>
    <col min="10503" max="10503" width="2.140625" style="64" customWidth="1"/>
    <col min="10504" max="10743" width="9.140625" style="64"/>
    <col min="10744" max="10744" width="2" style="64" customWidth="1"/>
    <col min="10745" max="10746" width="9.140625" style="64"/>
    <col min="10747" max="10747" width="7.28515625" style="64" customWidth="1"/>
    <col min="10748" max="10748" width="2.85546875" style="64" customWidth="1"/>
    <col min="10749" max="10749" width="9.140625" style="64"/>
    <col min="10750" max="10750" width="10.5703125" style="64" customWidth="1"/>
    <col min="10751" max="10751" width="7.85546875" style="64" customWidth="1"/>
    <col min="10752" max="10752" width="2.85546875" style="64" customWidth="1"/>
    <col min="10753" max="10753" width="21" style="64" customWidth="1"/>
    <col min="10754" max="10754" width="23.5703125" style="64" customWidth="1"/>
    <col min="10755" max="10755" width="12.140625" style="64" customWidth="1"/>
    <col min="10756" max="10756" width="3.28515625" style="64" customWidth="1"/>
    <col min="10757" max="10757" width="26.85546875" style="64" customWidth="1"/>
    <col min="10758" max="10758" width="0" style="64" hidden="1" customWidth="1"/>
    <col min="10759" max="10759" width="2.140625" style="64" customWidth="1"/>
    <col min="10760" max="10999" width="9.140625" style="64"/>
    <col min="11000" max="11000" width="2" style="64" customWidth="1"/>
    <col min="11001" max="11002" width="9.140625" style="64"/>
    <col min="11003" max="11003" width="7.28515625" style="64" customWidth="1"/>
    <col min="11004" max="11004" width="2.85546875" style="64" customWidth="1"/>
    <col min="11005" max="11005" width="9.140625" style="64"/>
    <col min="11006" max="11006" width="10.5703125" style="64" customWidth="1"/>
    <col min="11007" max="11007" width="7.85546875" style="64" customWidth="1"/>
    <col min="11008" max="11008" width="2.85546875" style="64" customWidth="1"/>
    <col min="11009" max="11009" width="21" style="64" customWidth="1"/>
    <col min="11010" max="11010" width="23.5703125" style="64" customWidth="1"/>
    <col min="11011" max="11011" width="12.140625" style="64" customWidth="1"/>
    <col min="11012" max="11012" width="3.28515625" style="64" customWidth="1"/>
    <col min="11013" max="11013" width="26.85546875" style="64" customWidth="1"/>
    <col min="11014" max="11014" width="0" style="64" hidden="1" customWidth="1"/>
    <col min="11015" max="11015" width="2.140625" style="64" customWidth="1"/>
    <col min="11016" max="11255" width="9.140625" style="64"/>
    <col min="11256" max="11256" width="2" style="64" customWidth="1"/>
    <col min="11257" max="11258" width="9.140625" style="64"/>
    <col min="11259" max="11259" width="7.28515625" style="64" customWidth="1"/>
    <col min="11260" max="11260" width="2.85546875" style="64" customWidth="1"/>
    <col min="11261" max="11261" width="9.140625" style="64"/>
    <col min="11262" max="11262" width="10.5703125" style="64" customWidth="1"/>
    <col min="11263" max="11263" width="7.85546875" style="64" customWidth="1"/>
    <col min="11264" max="11264" width="2.85546875" style="64" customWidth="1"/>
    <col min="11265" max="11265" width="21" style="64" customWidth="1"/>
    <col min="11266" max="11266" width="23.5703125" style="64" customWidth="1"/>
    <col min="11267" max="11267" width="12.140625" style="64" customWidth="1"/>
    <col min="11268" max="11268" width="3.28515625" style="64" customWidth="1"/>
    <col min="11269" max="11269" width="26.85546875" style="64" customWidth="1"/>
    <col min="11270" max="11270" width="0" style="64" hidden="1" customWidth="1"/>
    <col min="11271" max="11271" width="2.140625" style="64" customWidth="1"/>
    <col min="11272" max="11511" width="9.140625" style="64"/>
    <col min="11512" max="11512" width="2" style="64" customWidth="1"/>
    <col min="11513" max="11514" width="9.140625" style="64"/>
    <col min="11515" max="11515" width="7.28515625" style="64" customWidth="1"/>
    <col min="11516" max="11516" width="2.85546875" style="64" customWidth="1"/>
    <col min="11517" max="11517" width="9.140625" style="64"/>
    <col min="11518" max="11518" width="10.5703125" style="64" customWidth="1"/>
    <col min="11519" max="11519" width="7.85546875" style="64" customWidth="1"/>
    <col min="11520" max="11520" width="2.85546875" style="64" customWidth="1"/>
    <col min="11521" max="11521" width="21" style="64" customWidth="1"/>
    <col min="11522" max="11522" width="23.5703125" style="64" customWidth="1"/>
    <col min="11523" max="11523" width="12.140625" style="64" customWidth="1"/>
    <col min="11524" max="11524" width="3.28515625" style="64" customWidth="1"/>
    <col min="11525" max="11525" width="26.85546875" style="64" customWidth="1"/>
    <col min="11526" max="11526" width="0" style="64" hidden="1" customWidth="1"/>
    <col min="11527" max="11527" width="2.140625" style="64" customWidth="1"/>
    <col min="11528" max="11767" width="9.140625" style="64"/>
    <col min="11768" max="11768" width="2" style="64" customWidth="1"/>
    <col min="11769" max="11770" width="9.140625" style="64"/>
    <col min="11771" max="11771" width="7.28515625" style="64" customWidth="1"/>
    <col min="11772" max="11772" width="2.85546875" style="64" customWidth="1"/>
    <col min="11773" max="11773" width="9.140625" style="64"/>
    <col min="11774" max="11774" width="10.5703125" style="64" customWidth="1"/>
    <col min="11775" max="11775" width="7.85546875" style="64" customWidth="1"/>
    <col min="11776" max="11776" width="2.85546875" style="64" customWidth="1"/>
    <col min="11777" max="11777" width="21" style="64" customWidth="1"/>
    <col min="11778" max="11778" width="23.5703125" style="64" customWidth="1"/>
    <col min="11779" max="11779" width="12.140625" style="64" customWidth="1"/>
    <col min="11780" max="11780" width="3.28515625" style="64" customWidth="1"/>
    <col min="11781" max="11781" width="26.85546875" style="64" customWidth="1"/>
    <col min="11782" max="11782" width="0" style="64" hidden="1" customWidth="1"/>
    <col min="11783" max="11783" width="2.140625" style="64" customWidth="1"/>
    <col min="11784" max="12023" width="9.140625" style="64"/>
    <col min="12024" max="12024" width="2" style="64" customWidth="1"/>
    <col min="12025" max="12026" width="9.140625" style="64"/>
    <col min="12027" max="12027" width="7.28515625" style="64" customWidth="1"/>
    <col min="12028" max="12028" width="2.85546875" style="64" customWidth="1"/>
    <col min="12029" max="12029" width="9.140625" style="64"/>
    <col min="12030" max="12030" width="10.5703125" style="64" customWidth="1"/>
    <col min="12031" max="12031" width="7.85546875" style="64" customWidth="1"/>
    <col min="12032" max="12032" width="2.85546875" style="64" customWidth="1"/>
    <col min="12033" max="12033" width="21" style="64" customWidth="1"/>
    <col min="12034" max="12034" width="23.5703125" style="64" customWidth="1"/>
    <col min="12035" max="12035" width="12.140625" style="64" customWidth="1"/>
    <col min="12036" max="12036" width="3.28515625" style="64" customWidth="1"/>
    <col min="12037" max="12037" width="26.85546875" style="64" customWidth="1"/>
    <col min="12038" max="12038" width="0" style="64" hidden="1" customWidth="1"/>
    <col min="12039" max="12039" width="2.140625" style="64" customWidth="1"/>
    <col min="12040" max="12279" width="9.140625" style="64"/>
    <col min="12280" max="12280" width="2" style="64" customWidth="1"/>
    <col min="12281" max="12282" width="9.140625" style="64"/>
    <col min="12283" max="12283" width="7.28515625" style="64" customWidth="1"/>
    <col min="12284" max="12284" width="2.85546875" style="64" customWidth="1"/>
    <col min="12285" max="12285" width="9.140625" style="64"/>
    <col min="12286" max="12286" width="10.5703125" style="64" customWidth="1"/>
    <col min="12287" max="12287" width="7.85546875" style="64" customWidth="1"/>
    <col min="12288" max="12288" width="2.85546875" style="64" customWidth="1"/>
    <col min="12289" max="12289" width="21" style="64" customWidth="1"/>
    <col min="12290" max="12290" width="23.5703125" style="64" customWidth="1"/>
    <col min="12291" max="12291" width="12.140625" style="64" customWidth="1"/>
    <col min="12292" max="12292" width="3.28515625" style="64" customWidth="1"/>
    <col min="12293" max="12293" width="26.85546875" style="64" customWidth="1"/>
    <col min="12294" max="12294" width="0" style="64" hidden="1" customWidth="1"/>
    <col min="12295" max="12295" width="2.140625" style="64" customWidth="1"/>
    <col min="12296" max="12535" width="9.140625" style="64"/>
    <col min="12536" max="12536" width="2" style="64" customWidth="1"/>
    <col min="12537" max="12538" width="9.140625" style="64"/>
    <col min="12539" max="12539" width="7.28515625" style="64" customWidth="1"/>
    <col min="12540" max="12540" width="2.85546875" style="64" customWidth="1"/>
    <col min="12541" max="12541" width="9.140625" style="64"/>
    <col min="12542" max="12542" width="10.5703125" style="64" customWidth="1"/>
    <col min="12543" max="12543" width="7.85546875" style="64" customWidth="1"/>
    <col min="12544" max="12544" width="2.85546875" style="64" customWidth="1"/>
    <col min="12545" max="12545" width="21" style="64" customWidth="1"/>
    <col min="12546" max="12546" width="23.5703125" style="64" customWidth="1"/>
    <col min="12547" max="12547" width="12.140625" style="64" customWidth="1"/>
    <col min="12548" max="12548" width="3.28515625" style="64" customWidth="1"/>
    <col min="12549" max="12549" width="26.85546875" style="64" customWidth="1"/>
    <col min="12550" max="12550" width="0" style="64" hidden="1" customWidth="1"/>
    <col min="12551" max="12551" width="2.140625" style="64" customWidth="1"/>
    <col min="12552" max="12791" width="9.140625" style="64"/>
    <col min="12792" max="12792" width="2" style="64" customWidth="1"/>
    <col min="12793" max="12794" width="9.140625" style="64"/>
    <col min="12795" max="12795" width="7.28515625" style="64" customWidth="1"/>
    <col min="12796" max="12796" width="2.85546875" style="64" customWidth="1"/>
    <col min="12797" max="12797" width="9.140625" style="64"/>
    <col min="12798" max="12798" width="10.5703125" style="64" customWidth="1"/>
    <col min="12799" max="12799" width="7.85546875" style="64" customWidth="1"/>
    <col min="12800" max="12800" width="2.85546875" style="64" customWidth="1"/>
    <col min="12801" max="12801" width="21" style="64" customWidth="1"/>
    <col min="12802" max="12802" width="23.5703125" style="64" customWidth="1"/>
    <col min="12803" max="12803" width="12.140625" style="64" customWidth="1"/>
    <col min="12804" max="12804" width="3.28515625" style="64" customWidth="1"/>
    <col min="12805" max="12805" width="26.85546875" style="64" customWidth="1"/>
    <col min="12806" max="12806" width="0" style="64" hidden="1" customWidth="1"/>
    <col min="12807" max="12807" width="2.140625" style="64" customWidth="1"/>
    <col min="12808" max="13047" width="9.140625" style="64"/>
    <col min="13048" max="13048" width="2" style="64" customWidth="1"/>
    <col min="13049" max="13050" width="9.140625" style="64"/>
    <col min="13051" max="13051" width="7.28515625" style="64" customWidth="1"/>
    <col min="13052" max="13052" width="2.85546875" style="64" customWidth="1"/>
    <col min="13053" max="13053" width="9.140625" style="64"/>
    <col min="13054" max="13054" width="10.5703125" style="64" customWidth="1"/>
    <col min="13055" max="13055" width="7.85546875" style="64" customWidth="1"/>
    <col min="13056" max="13056" width="2.85546875" style="64" customWidth="1"/>
    <col min="13057" max="13057" width="21" style="64" customWidth="1"/>
    <col min="13058" max="13058" width="23.5703125" style="64" customWidth="1"/>
    <col min="13059" max="13059" width="12.140625" style="64" customWidth="1"/>
    <col min="13060" max="13060" width="3.28515625" style="64" customWidth="1"/>
    <col min="13061" max="13061" width="26.85546875" style="64" customWidth="1"/>
    <col min="13062" max="13062" width="0" style="64" hidden="1" customWidth="1"/>
    <col min="13063" max="13063" width="2.140625" style="64" customWidth="1"/>
    <col min="13064" max="13303" width="9.140625" style="64"/>
    <col min="13304" max="13304" width="2" style="64" customWidth="1"/>
    <col min="13305" max="13306" width="9.140625" style="64"/>
    <col min="13307" max="13307" width="7.28515625" style="64" customWidth="1"/>
    <col min="13308" max="13308" width="2.85546875" style="64" customWidth="1"/>
    <col min="13309" max="13309" width="9.140625" style="64"/>
    <col min="13310" max="13310" width="10.5703125" style="64" customWidth="1"/>
    <col min="13311" max="13311" width="7.85546875" style="64" customWidth="1"/>
    <col min="13312" max="13312" width="2.85546875" style="64" customWidth="1"/>
    <col min="13313" max="13313" width="21" style="64" customWidth="1"/>
    <col min="13314" max="13314" width="23.5703125" style="64" customWidth="1"/>
    <col min="13315" max="13315" width="12.140625" style="64" customWidth="1"/>
    <col min="13316" max="13316" width="3.28515625" style="64" customWidth="1"/>
    <col min="13317" max="13317" width="26.85546875" style="64" customWidth="1"/>
    <col min="13318" max="13318" width="0" style="64" hidden="1" customWidth="1"/>
    <col min="13319" max="13319" width="2.140625" style="64" customWidth="1"/>
    <col min="13320" max="13559" width="9.140625" style="64"/>
    <col min="13560" max="13560" width="2" style="64" customWidth="1"/>
    <col min="13561" max="13562" width="9.140625" style="64"/>
    <col min="13563" max="13563" width="7.28515625" style="64" customWidth="1"/>
    <col min="13564" max="13564" width="2.85546875" style="64" customWidth="1"/>
    <col min="13565" max="13565" width="9.140625" style="64"/>
    <col min="13566" max="13566" width="10.5703125" style="64" customWidth="1"/>
    <col min="13567" max="13567" width="7.85546875" style="64" customWidth="1"/>
    <col min="13568" max="13568" width="2.85546875" style="64" customWidth="1"/>
    <col min="13569" max="13569" width="21" style="64" customWidth="1"/>
    <col min="13570" max="13570" width="23.5703125" style="64" customWidth="1"/>
    <col min="13571" max="13571" width="12.140625" style="64" customWidth="1"/>
    <col min="13572" max="13572" width="3.28515625" style="64" customWidth="1"/>
    <col min="13573" max="13573" width="26.85546875" style="64" customWidth="1"/>
    <col min="13574" max="13574" width="0" style="64" hidden="1" customWidth="1"/>
    <col min="13575" max="13575" width="2.140625" style="64" customWidth="1"/>
    <col min="13576" max="13815" width="9.140625" style="64"/>
    <col min="13816" max="13816" width="2" style="64" customWidth="1"/>
    <col min="13817" max="13818" width="9.140625" style="64"/>
    <col min="13819" max="13819" width="7.28515625" style="64" customWidth="1"/>
    <col min="13820" max="13820" width="2.85546875" style="64" customWidth="1"/>
    <col min="13821" max="13821" width="9.140625" style="64"/>
    <col min="13822" max="13822" width="10.5703125" style="64" customWidth="1"/>
    <col min="13823" max="13823" width="7.85546875" style="64" customWidth="1"/>
    <col min="13824" max="13824" width="2.85546875" style="64" customWidth="1"/>
    <col min="13825" max="13825" width="21" style="64" customWidth="1"/>
    <col min="13826" max="13826" width="23.5703125" style="64" customWidth="1"/>
    <col min="13827" max="13827" width="12.140625" style="64" customWidth="1"/>
    <col min="13828" max="13828" width="3.28515625" style="64" customWidth="1"/>
    <col min="13829" max="13829" width="26.85546875" style="64" customWidth="1"/>
    <col min="13830" max="13830" width="0" style="64" hidden="1" customWidth="1"/>
    <col min="13831" max="13831" width="2.140625" style="64" customWidth="1"/>
    <col min="13832" max="14071" width="9.140625" style="64"/>
    <col min="14072" max="14072" width="2" style="64" customWidth="1"/>
    <col min="14073" max="14074" width="9.140625" style="64"/>
    <col min="14075" max="14075" width="7.28515625" style="64" customWidth="1"/>
    <col min="14076" max="14076" width="2.85546875" style="64" customWidth="1"/>
    <col min="14077" max="14077" width="9.140625" style="64"/>
    <col min="14078" max="14078" width="10.5703125" style="64" customWidth="1"/>
    <col min="14079" max="14079" width="7.85546875" style="64" customWidth="1"/>
    <col min="14080" max="14080" width="2.85546875" style="64" customWidth="1"/>
    <col min="14081" max="14081" width="21" style="64" customWidth="1"/>
    <col min="14082" max="14082" width="23.5703125" style="64" customWidth="1"/>
    <col min="14083" max="14083" width="12.140625" style="64" customWidth="1"/>
    <col min="14084" max="14084" width="3.28515625" style="64" customWidth="1"/>
    <col min="14085" max="14085" width="26.85546875" style="64" customWidth="1"/>
    <col min="14086" max="14086" width="0" style="64" hidden="1" customWidth="1"/>
    <col min="14087" max="14087" width="2.140625" style="64" customWidth="1"/>
    <col min="14088" max="14327" width="9.140625" style="64"/>
    <col min="14328" max="14328" width="2" style="64" customWidth="1"/>
    <col min="14329" max="14330" width="9.140625" style="64"/>
    <col min="14331" max="14331" width="7.28515625" style="64" customWidth="1"/>
    <col min="14332" max="14332" width="2.85546875" style="64" customWidth="1"/>
    <col min="14333" max="14333" width="9.140625" style="64"/>
    <col min="14334" max="14334" width="10.5703125" style="64" customWidth="1"/>
    <col min="14335" max="14335" width="7.85546875" style="64" customWidth="1"/>
    <col min="14336" max="14336" width="2.85546875" style="64" customWidth="1"/>
    <col min="14337" max="14337" width="21" style="64" customWidth="1"/>
    <col min="14338" max="14338" width="23.5703125" style="64" customWidth="1"/>
    <col min="14339" max="14339" width="12.140625" style="64" customWidth="1"/>
    <col min="14340" max="14340" width="3.28515625" style="64" customWidth="1"/>
    <col min="14341" max="14341" width="26.85546875" style="64" customWidth="1"/>
    <col min="14342" max="14342" width="0" style="64" hidden="1" customWidth="1"/>
    <col min="14343" max="14343" width="2.140625" style="64" customWidth="1"/>
    <col min="14344" max="14583" width="9.140625" style="64"/>
    <col min="14584" max="14584" width="2" style="64" customWidth="1"/>
    <col min="14585" max="14586" width="9.140625" style="64"/>
    <col min="14587" max="14587" width="7.28515625" style="64" customWidth="1"/>
    <col min="14588" max="14588" width="2.85546875" style="64" customWidth="1"/>
    <col min="14589" max="14589" width="9.140625" style="64"/>
    <col min="14590" max="14590" width="10.5703125" style="64" customWidth="1"/>
    <col min="14591" max="14591" width="7.85546875" style="64" customWidth="1"/>
    <col min="14592" max="14592" width="2.85546875" style="64" customWidth="1"/>
    <col min="14593" max="14593" width="21" style="64" customWidth="1"/>
    <col min="14594" max="14594" width="23.5703125" style="64" customWidth="1"/>
    <col min="14595" max="14595" width="12.140625" style="64" customWidth="1"/>
    <col min="14596" max="14596" width="3.28515625" style="64" customWidth="1"/>
    <col min="14597" max="14597" width="26.85546875" style="64" customWidth="1"/>
    <col min="14598" max="14598" width="0" style="64" hidden="1" customWidth="1"/>
    <col min="14599" max="14599" width="2.140625" style="64" customWidth="1"/>
    <col min="14600" max="14839" width="9.140625" style="64"/>
    <col min="14840" max="14840" width="2" style="64" customWidth="1"/>
    <col min="14841" max="14842" width="9.140625" style="64"/>
    <col min="14843" max="14843" width="7.28515625" style="64" customWidth="1"/>
    <col min="14844" max="14844" width="2.85546875" style="64" customWidth="1"/>
    <col min="14845" max="14845" width="9.140625" style="64"/>
    <col min="14846" max="14846" width="10.5703125" style="64" customWidth="1"/>
    <col min="14847" max="14847" width="7.85546875" style="64" customWidth="1"/>
    <col min="14848" max="14848" width="2.85546875" style="64" customWidth="1"/>
    <col min="14849" max="14849" width="21" style="64" customWidth="1"/>
    <col min="14850" max="14850" width="23.5703125" style="64" customWidth="1"/>
    <col min="14851" max="14851" width="12.140625" style="64" customWidth="1"/>
    <col min="14852" max="14852" width="3.28515625" style="64" customWidth="1"/>
    <col min="14853" max="14853" width="26.85546875" style="64" customWidth="1"/>
    <col min="14854" max="14854" width="0" style="64" hidden="1" customWidth="1"/>
    <col min="14855" max="14855" width="2.140625" style="64" customWidth="1"/>
    <col min="14856" max="15095" width="9.140625" style="64"/>
    <col min="15096" max="15096" width="2" style="64" customWidth="1"/>
    <col min="15097" max="15098" width="9.140625" style="64"/>
    <col min="15099" max="15099" width="7.28515625" style="64" customWidth="1"/>
    <col min="15100" max="15100" width="2.85546875" style="64" customWidth="1"/>
    <col min="15101" max="15101" width="9.140625" style="64"/>
    <col min="15102" max="15102" width="10.5703125" style="64" customWidth="1"/>
    <col min="15103" max="15103" width="7.85546875" style="64" customWidth="1"/>
    <col min="15104" max="15104" width="2.85546875" style="64" customWidth="1"/>
    <col min="15105" max="15105" width="21" style="64" customWidth="1"/>
    <col min="15106" max="15106" width="23.5703125" style="64" customWidth="1"/>
    <col min="15107" max="15107" width="12.140625" style="64" customWidth="1"/>
    <col min="15108" max="15108" width="3.28515625" style="64" customWidth="1"/>
    <col min="15109" max="15109" width="26.85546875" style="64" customWidth="1"/>
    <col min="15110" max="15110" width="0" style="64" hidden="1" customWidth="1"/>
    <col min="15111" max="15111" width="2.140625" style="64" customWidth="1"/>
    <col min="15112" max="15351" width="9.140625" style="64"/>
    <col min="15352" max="15352" width="2" style="64" customWidth="1"/>
    <col min="15353" max="15354" width="9.140625" style="64"/>
    <col min="15355" max="15355" width="7.28515625" style="64" customWidth="1"/>
    <col min="15356" max="15356" width="2.85546875" style="64" customWidth="1"/>
    <col min="15357" max="15357" width="9.140625" style="64"/>
    <col min="15358" max="15358" width="10.5703125" style="64" customWidth="1"/>
    <col min="15359" max="15359" width="7.85546875" style="64" customWidth="1"/>
    <col min="15360" max="15360" width="2.85546875" style="64" customWidth="1"/>
    <col min="15361" max="15361" width="21" style="64" customWidth="1"/>
    <col min="15362" max="15362" width="23.5703125" style="64" customWidth="1"/>
    <col min="15363" max="15363" width="12.140625" style="64" customWidth="1"/>
    <col min="15364" max="15364" width="3.28515625" style="64" customWidth="1"/>
    <col min="15365" max="15365" width="26.85546875" style="64" customWidth="1"/>
    <col min="15366" max="15366" width="0" style="64" hidden="1" customWidth="1"/>
    <col min="15367" max="15367" width="2.140625" style="64" customWidth="1"/>
    <col min="15368" max="15607" width="9.140625" style="64"/>
    <col min="15608" max="15608" width="2" style="64" customWidth="1"/>
    <col min="15609" max="15610" width="9.140625" style="64"/>
    <col min="15611" max="15611" width="7.28515625" style="64" customWidth="1"/>
    <col min="15612" max="15612" width="2.85546875" style="64" customWidth="1"/>
    <col min="15613" max="15613" width="9.140625" style="64"/>
    <col min="15614" max="15614" width="10.5703125" style="64" customWidth="1"/>
    <col min="15615" max="15615" width="7.85546875" style="64" customWidth="1"/>
    <col min="15616" max="15616" width="2.85546875" style="64" customWidth="1"/>
    <col min="15617" max="15617" width="21" style="64" customWidth="1"/>
    <col min="15618" max="15618" width="23.5703125" style="64" customWidth="1"/>
    <col min="15619" max="15619" width="12.140625" style="64" customWidth="1"/>
    <col min="15620" max="15620" width="3.28515625" style="64" customWidth="1"/>
    <col min="15621" max="15621" width="26.85546875" style="64" customWidth="1"/>
    <col min="15622" max="15622" width="0" style="64" hidden="1" customWidth="1"/>
    <col min="15623" max="15623" width="2.140625" style="64" customWidth="1"/>
    <col min="15624" max="15863" width="9.140625" style="64"/>
    <col min="15864" max="15864" width="2" style="64" customWidth="1"/>
    <col min="15865" max="15866" width="9.140625" style="64"/>
    <col min="15867" max="15867" width="7.28515625" style="64" customWidth="1"/>
    <col min="15868" max="15868" width="2.85546875" style="64" customWidth="1"/>
    <col min="15869" max="15869" width="9.140625" style="64"/>
    <col min="15870" max="15870" width="10.5703125" style="64" customWidth="1"/>
    <col min="15871" max="15871" width="7.85546875" style="64" customWidth="1"/>
    <col min="15872" max="15872" width="2.85546875" style="64" customWidth="1"/>
    <col min="15873" max="15873" width="21" style="64" customWidth="1"/>
    <col min="15874" max="15874" width="23.5703125" style="64" customWidth="1"/>
    <col min="15875" max="15875" width="12.140625" style="64" customWidth="1"/>
    <col min="15876" max="15876" width="3.28515625" style="64" customWidth="1"/>
    <col min="15877" max="15877" width="26.85546875" style="64" customWidth="1"/>
    <col min="15878" max="15878" width="0" style="64" hidden="1" customWidth="1"/>
    <col min="15879" max="15879" width="2.140625" style="64" customWidth="1"/>
    <col min="15880" max="16119" width="9.140625" style="64"/>
    <col min="16120" max="16120" width="2" style="64" customWidth="1"/>
    <col min="16121" max="16122" width="9.140625" style="64"/>
    <col min="16123" max="16123" width="7.28515625" style="64" customWidth="1"/>
    <col min="16124" max="16124" width="2.85546875" style="64" customWidth="1"/>
    <col min="16125" max="16125" width="9.140625" style="64"/>
    <col min="16126" max="16126" width="10.5703125" style="64" customWidth="1"/>
    <col min="16127" max="16127" width="7.85546875" style="64" customWidth="1"/>
    <col min="16128" max="16128" width="2.85546875" style="64" customWidth="1"/>
    <col min="16129" max="16129" width="21" style="64" customWidth="1"/>
    <col min="16130" max="16130" width="23.5703125" style="64" customWidth="1"/>
    <col min="16131" max="16131" width="12.140625" style="64" customWidth="1"/>
    <col min="16132" max="16132" width="3.28515625" style="64" customWidth="1"/>
    <col min="16133" max="16133" width="26.85546875" style="64" customWidth="1"/>
    <col min="16134" max="16134" width="0" style="64" hidden="1" customWidth="1"/>
    <col min="16135" max="16135" width="2.140625" style="64" customWidth="1"/>
    <col min="16136" max="16384" width="9.140625" style="64"/>
  </cols>
  <sheetData>
    <row r="3" spans="1:13" ht="13.5" thickBot="1" x14ac:dyDescent="0.25"/>
    <row r="4" spans="1:13" ht="15.75" customHeight="1" thickTop="1" x14ac:dyDescent="0.2">
      <c r="C4" s="77"/>
      <c r="D4" s="77"/>
      <c r="E4" s="141" t="s">
        <v>232</v>
      </c>
      <c r="F4" s="142"/>
      <c r="G4" s="142"/>
      <c r="H4" s="143"/>
    </row>
    <row r="5" spans="1:13" ht="15" customHeight="1" x14ac:dyDescent="0.2">
      <c r="C5" s="77"/>
      <c r="D5" s="77"/>
      <c r="E5" s="144"/>
      <c r="F5" s="145"/>
      <c r="G5" s="145"/>
      <c r="H5" s="146"/>
    </row>
    <row r="6" spans="1:13" ht="15" customHeight="1" thickBot="1" x14ac:dyDescent="0.25">
      <c r="C6" s="77"/>
      <c r="D6" s="77"/>
      <c r="E6" s="147"/>
      <c r="F6" s="148"/>
      <c r="G6" s="148"/>
      <c r="H6" s="149"/>
    </row>
    <row r="7" spans="1:13" ht="13.5" thickTop="1" x14ac:dyDescent="0.2"/>
    <row r="14" spans="1:13" x14ac:dyDescent="0.2">
      <c r="B14" s="64" t="s">
        <v>196</v>
      </c>
      <c r="G14" s="65"/>
    </row>
    <row r="15" spans="1:13" ht="13.5" thickBot="1" x14ac:dyDescent="0.25">
      <c r="G15" s="65"/>
    </row>
    <row r="16" spans="1:13" ht="15.75" customHeight="1" thickTop="1" x14ac:dyDescent="0.2">
      <c r="A16" s="78"/>
      <c r="B16" s="124"/>
      <c r="C16" s="125"/>
      <c r="D16" s="126"/>
      <c r="E16" s="78"/>
      <c r="F16" s="79"/>
      <c r="G16" s="69"/>
      <c r="H16" s="80"/>
      <c r="I16" s="81"/>
      <c r="J16" s="72"/>
      <c r="K16" s="79"/>
      <c r="L16" s="78"/>
      <c r="M16" s="79"/>
    </row>
    <row r="17" spans="1:13" ht="25.5" x14ac:dyDescent="0.2">
      <c r="A17" s="78"/>
      <c r="B17" s="127" t="s">
        <v>55</v>
      </c>
      <c r="C17" s="128"/>
      <c r="D17" s="129"/>
      <c r="E17" s="78"/>
      <c r="F17" s="85" t="s">
        <v>65</v>
      </c>
      <c r="G17" s="70"/>
      <c r="H17" s="85" t="s">
        <v>203</v>
      </c>
      <c r="I17" s="84"/>
      <c r="J17" s="72"/>
      <c r="K17" s="85" t="s">
        <v>78</v>
      </c>
      <c r="L17" s="78"/>
      <c r="M17" s="85" t="s">
        <v>237</v>
      </c>
    </row>
    <row r="18" spans="1:13" ht="15" customHeight="1" x14ac:dyDescent="0.2">
      <c r="A18" s="78"/>
      <c r="B18" s="72"/>
      <c r="C18" s="84"/>
      <c r="D18" s="86"/>
      <c r="E18" s="78"/>
      <c r="F18" s="83"/>
      <c r="G18" s="78"/>
      <c r="H18" s="83"/>
      <c r="I18" s="84"/>
      <c r="J18" s="72"/>
      <c r="K18" s="83"/>
      <c r="L18" s="78"/>
      <c r="M18" s="83"/>
    </row>
    <row r="19" spans="1:13" ht="25.5" x14ac:dyDescent="0.2">
      <c r="A19" s="78"/>
      <c r="B19" s="130" t="s">
        <v>202</v>
      </c>
      <c r="C19" s="131"/>
      <c r="D19" s="132"/>
      <c r="E19" s="78"/>
      <c r="F19" s="90" t="s">
        <v>233</v>
      </c>
      <c r="G19" s="78"/>
      <c r="H19" s="87" t="s">
        <v>202</v>
      </c>
      <c r="I19" s="89"/>
      <c r="J19" s="105"/>
      <c r="K19" s="87" t="s">
        <v>235</v>
      </c>
      <c r="L19" s="78"/>
      <c r="M19" s="87" t="s">
        <v>238</v>
      </c>
    </row>
    <row r="20" spans="1:13" ht="15" customHeight="1" thickBot="1" x14ac:dyDescent="0.25">
      <c r="A20" s="78"/>
      <c r="B20" s="102"/>
      <c r="C20" s="103"/>
      <c r="D20" s="104"/>
      <c r="E20" s="78"/>
      <c r="F20" s="85"/>
      <c r="G20" s="78"/>
      <c r="H20" s="97"/>
      <c r="I20" s="91"/>
      <c r="J20" s="82"/>
      <c r="K20" s="87" t="s">
        <v>236</v>
      </c>
      <c r="L20" s="78"/>
      <c r="M20" s="87" t="s">
        <v>239</v>
      </c>
    </row>
    <row r="21" spans="1:13" ht="12.75" customHeight="1" thickTop="1" thickBot="1" x14ac:dyDescent="0.25">
      <c r="A21" s="78"/>
      <c r="B21" s="101"/>
      <c r="C21" s="101"/>
      <c r="D21" s="101"/>
      <c r="E21" s="78"/>
      <c r="F21" s="87" t="s">
        <v>234</v>
      </c>
      <c r="G21" s="78"/>
      <c r="H21" s="106"/>
      <c r="I21" s="96"/>
      <c r="J21" s="94"/>
      <c r="K21" s="97"/>
      <c r="L21" s="78"/>
      <c r="M21" s="95" t="s">
        <v>240</v>
      </c>
    </row>
    <row r="22" spans="1:13" ht="14.25" thickTop="1" thickBot="1" x14ac:dyDescent="0.25">
      <c r="A22" s="78"/>
      <c r="B22" s="70"/>
      <c r="C22" s="70"/>
      <c r="D22" s="70"/>
      <c r="E22" s="78"/>
      <c r="F22" s="97"/>
      <c r="G22" s="78"/>
      <c r="I22" s="96"/>
      <c r="J22" s="96"/>
      <c r="K22" s="101"/>
      <c r="L22" s="78"/>
      <c r="M22" s="97"/>
    </row>
    <row r="23" spans="1:13" ht="13.5" thickTop="1" x14ac:dyDescent="0.2">
      <c r="A23" s="78"/>
      <c r="B23" s="67"/>
      <c r="C23" s="67"/>
      <c r="D23" s="67"/>
      <c r="E23" s="78"/>
      <c r="F23" s="78"/>
      <c r="G23" s="78"/>
      <c r="I23" s="96"/>
      <c r="J23" s="96"/>
      <c r="K23" s="78"/>
      <c r="L23" s="78"/>
    </row>
    <row r="24" spans="1:13" x14ac:dyDescent="0.2">
      <c r="A24" s="78"/>
      <c r="B24" s="67"/>
      <c r="C24" s="67"/>
      <c r="D24" s="67"/>
      <c r="E24" s="78"/>
      <c r="F24" s="78"/>
      <c r="G24" s="78"/>
      <c r="I24" s="96"/>
      <c r="J24" s="96"/>
      <c r="K24" s="78"/>
      <c r="L24" s="78"/>
    </row>
    <row r="25" spans="1:13" ht="12.75" customHeight="1" x14ac:dyDescent="0.2">
      <c r="A25" s="78"/>
      <c r="B25" s="67"/>
      <c r="C25" s="67"/>
      <c r="D25" s="67"/>
      <c r="E25" s="78"/>
      <c r="F25" s="78"/>
      <c r="G25" s="78"/>
      <c r="I25" s="96"/>
      <c r="J25" s="96"/>
      <c r="K25" s="78"/>
      <c r="L25" s="78"/>
    </row>
    <row r="26" spans="1:13" ht="12.75" customHeight="1" x14ac:dyDescent="0.2">
      <c r="A26" s="78"/>
      <c r="B26" s="67"/>
      <c r="C26" s="67"/>
      <c r="D26" s="67"/>
      <c r="E26" s="78"/>
      <c r="G26" s="71"/>
      <c r="I26" s="96"/>
      <c r="J26" s="96"/>
      <c r="K26" s="78"/>
      <c r="L26" s="78"/>
    </row>
    <row r="27" spans="1:13" ht="13.5" thickBot="1" x14ac:dyDescent="0.25">
      <c r="A27" s="78"/>
      <c r="E27" s="78"/>
      <c r="G27" s="70"/>
      <c r="H27" s="67"/>
      <c r="I27" s="103"/>
      <c r="J27" s="70"/>
      <c r="K27" s="78"/>
      <c r="L27" s="78"/>
    </row>
    <row r="28" spans="1:13" ht="13.5" thickTop="1" x14ac:dyDescent="0.2">
      <c r="A28" s="78"/>
      <c r="E28" s="78"/>
      <c r="G28" s="71"/>
      <c r="H28" s="67"/>
      <c r="L28" s="78"/>
    </row>
    <row r="29" spans="1:13" x14ac:dyDescent="0.2">
      <c r="A29" s="78"/>
      <c r="E29" s="78"/>
      <c r="G29" s="71"/>
      <c r="H29" s="67"/>
      <c r="L29" s="78"/>
    </row>
    <row r="30" spans="1:13" x14ac:dyDescent="0.2">
      <c r="G30" s="66"/>
      <c r="H30" s="66"/>
    </row>
    <row r="31" spans="1:13" x14ac:dyDescent="0.2">
      <c r="G31" s="66"/>
      <c r="H31" s="66"/>
    </row>
    <row r="32" spans="1:13" x14ac:dyDescent="0.2">
      <c r="G32" s="66"/>
      <c r="H32" s="66"/>
    </row>
    <row r="33" spans="7:8" x14ac:dyDescent="0.2">
      <c r="G33" s="65"/>
      <c r="H33" s="68"/>
    </row>
    <row r="34" spans="7:8" x14ac:dyDescent="0.2">
      <c r="G34" s="65"/>
      <c r="H34" s="66"/>
    </row>
    <row r="35" spans="7:8" x14ac:dyDescent="0.2">
      <c r="G35" s="65"/>
    </row>
  </sheetData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H281"/>
  <sheetViews>
    <sheetView workbookViewId="0">
      <selection activeCell="F26" sqref="F2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3" t="s">
        <v>33</v>
      </c>
      <c r="C7" s="133"/>
      <c r="D7" s="133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27138.84</v>
      </c>
      <c r="C10" s="24">
        <v>30944.19</v>
      </c>
      <c r="D10" s="24">
        <f>SUM(B10:C10)</f>
        <v>58083.03</v>
      </c>
      <c r="E10" s="40"/>
      <c r="F10" s="24">
        <v>58627.98</v>
      </c>
      <c r="G10" s="6"/>
    </row>
    <row r="11" spans="1:8" x14ac:dyDescent="0.2">
      <c r="A11" s="23" t="s">
        <v>34</v>
      </c>
      <c r="B11" s="24">
        <v>8513.4</v>
      </c>
      <c r="C11" s="24">
        <v>9144.66</v>
      </c>
      <c r="D11" s="24">
        <f>SUM(B11:C11)</f>
        <v>17658.059999999998</v>
      </c>
      <c r="E11" s="40"/>
      <c r="F11" s="24">
        <v>17337.599999999999</v>
      </c>
      <c r="G11" s="6"/>
    </row>
    <row r="12" spans="1:8" x14ac:dyDescent="0.2">
      <c r="A12" s="38" t="s">
        <v>19</v>
      </c>
      <c r="B12" s="41">
        <f>SUM(B10:B11)</f>
        <v>35652.239999999998</v>
      </c>
      <c r="C12" s="41">
        <f t="shared" ref="C12:D12" si="0">SUM(C10:C11)</f>
        <v>40088.85</v>
      </c>
      <c r="D12" s="41">
        <f t="shared" si="0"/>
        <v>75741.09</v>
      </c>
      <c r="E12" s="40">
        <f>SUM(D12/D29)*100</f>
        <v>93.390710951524696</v>
      </c>
      <c r="F12" s="27">
        <f>SUM(F10:F11)</f>
        <v>75965.58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36</v>
      </c>
      <c r="B18" s="24">
        <v>440.44</v>
      </c>
      <c r="C18" s="24"/>
      <c r="D18" s="24">
        <f>SUM(B18:C18)</f>
        <v>440.44</v>
      </c>
      <c r="E18" s="40"/>
      <c r="F18" s="24">
        <v>0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440.44</v>
      </c>
      <c r="C20" s="41">
        <f>SUM(C18:C19)</f>
        <v>0</v>
      </c>
      <c r="D20" s="41">
        <f>SUM(D18:D19)</f>
        <v>440.44</v>
      </c>
      <c r="E20" s="40">
        <f>SUM(D20/D29)*100</f>
        <v>0.54307384184053253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2353.6799999999998</v>
      </c>
      <c r="C25" s="24">
        <v>2566.1</v>
      </c>
      <c r="D25" s="24">
        <f>SUM(B25:C25)</f>
        <v>4919.78</v>
      </c>
      <c r="E25" s="40"/>
      <c r="F25" s="24">
        <v>5084.7700000000004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2353.6799999999998</v>
      </c>
      <c r="C27" s="41">
        <f t="shared" ref="C27:D27" si="1">SUM(C25:C26)</f>
        <v>2566.1</v>
      </c>
      <c r="D27" s="41">
        <f t="shared" si="1"/>
        <v>4919.78</v>
      </c>
      <c r="E27" s="40">
        <f>SUM(D27/D29)*100</f>
        <v>6.0662152066347632</v>
      </c>
      <c r="F27" s="27">
        <f>SUM(F25:F26)</f>
        <v>5084.7700000000004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38446.36</v>
      </c>
      <c r="C29" s="41">
        <f>SUM(C27,C23,C20,C16,C12)</f>
        <v>42654.95</v>
      </c>
      <c r="D29" s="41">
        <f>SUM(B29:C29)</f>
        <v>81101.31</v>
      </c>
      <c r="E29" s="40">
        <f>SUM(E12:E27)</f>
        <v>100</v>
      </c>
      <c r="F29" s="27">
        <f>F27+F23+F20+F16+F12</f>
        <v>81050.350000000006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-38446.36</v>
      </c>
      <c r="C33" s="27">
        <f t="shared" si="2"/>
        <v>-42654.95</v>
      </c>
      <c r="D33" s="27">
        <f t="shared" si="2"/>
        <v>-81101.31</v>
      </c>
      <c r="E33" s="47">
        <f t="shared" si="2"/>
        <v>-100</v>
      </c>
      <c r="F33" s="27">
        <f t="shared" si="2"/>
        <v>-81050.350000000006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39</vt:i4>
      </vt:variant>
      <vt:variant>
        <vt:lpstr>Intervalli denominati</vt:lpstr>
      </vt:variant>
      <vt:variant>
        <vt:i4>1</vt:i4>
      </vt:variant>
    </vt:vector>
  </HeadingPairs>
  <TitlesOfParts>
    <vt:vector size="40" baseType="lpstr">
      <vt:lpstr>mappatura ente</vt:lpstr>
      <vt:lpstr>mappatura I° settore</vt:lpstr>
      <vt:lpstr>001</vt:lpstr>
      <vt:lpstr>003</vt:lpstr>
      <vt:lpstr>004</vt:lpstr>
      <vt:lpstr>005</vt:lpstr>
      <vt:lpstr>riep I° sett.</vt:lpstr>
      <vt:lpstr>mappatura II° settore </vt:lpstr>
      <vt:lpstr>006</vt:lpstr>
      <vt:lpstr>007</vt:lpstr>
      <vt:lpstr>008</vt:lpstr>
      <vt:lpstr>009</vt:lpstr>
      <vt:lpstr>010</vt:lpstr>
      <vt:lpstr>riep II° sett.</vt:lpstr>
      <vt:lpstr>mappatura III° settore </vt:lpstr>
      <vt:lpstr>011</vt:lpstr>
      <vt:lpstr>013</vt:lpstr>
      <vt:lpstr>014</vt:lpstr>
      <vt:lpstr>riep III° sett. </vt:lpstr>
      <vt:lpstr>mappatura IV° settore</vt:lpstr>
      <vt:lpstr>015</vt:lpstr>
      <vt:lpstr>016</vt:lpstr>
      <vt:lpstr>017</vt:lpstr>
      <vt:lpstr>018</vt:lpstr>
      <vt:lpstr>019</vt:lpstr>
      <vt:lpstr>021</vt:lpstr>
      <vt:lpstr>riep IV° sett.</vt:lpstr>
      <vt:lpstr>mappatura V° settore </vt:lpstr>
      <vt:lpstr>022</vt:lpstr>
      <vt:lpstr>023</vt:lpstr>
      <vt:lpstr>riep V° sett.</vt:lpstr>
      <vt:lpstr>mappatura VI° settore</vt:lpstr>
      <vt:lpstr>024</vt:lpstr>
      <vt:lpstr>025</vt:lpstr>
      <vt:lpstr>026</vt:lpstr>
      <vt:lpstr>027</vt:lpstr>
      <vt:lpstr>028</vt:lpstr>
      <vt:lpstr>riep. VI° sett.</vt:lpstr>
      <vt:lpstr>riep. generale</vt:lpstr>
      <vt:lpstr>'mappatura I° settore'!Area_stampa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Fontanesi</dc:creator>
  <cp:lastModifiedBy>Paolo Fontanesi</cp:lastModifiedBy>
  <cp:lastPrinted>2013-10-16T10:46:50Z</cp:lastPrinted>
  <dcterms:created xsi:type="dcterms:W3CDTF">2013-09-04T14:41:48Z</dcterms:created>
  <dcterms:modified xsi:type="dcterms:W3CDTF">2014-06-03T13:32:46Z</dcterms:modified>
</cp:coreProperties>
</file>